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1850" windowHeight="5730" activeTab="2"/>
  </bookViews>
  <sheets>
    <sheet name="Cash flow" sheetId="1" r:id="rId1"/>
    <sheet name="Balance Sheet" sheetId="2" r:id="rId2"/>
    <sheet name="Profit &amp; Loss" sheetId="3" r:id="rId3"/>
    <sheet name="Segment Report" sheetId="4" r:id="rId4"/>
    <sheet name="Changes in Equity" sheetId="5" r:id="rId5"/>
  </sheets>
  <definedNames/>
  <calcPr fullCalcOnLoad="1"/>
</workbook>
</file>

<file path=xl/sharedStrings.xml><?xml version="1.0" encoding="utf-8"?>
<sst xmlns="http://schemas.openxmlformats.org/spreadsheetml/2006/main" count="171" uniqueCount="132">
  <si>
    <t>$'000</t>
  </si>
  <si>
    <t>CASH RESOURCES WERE PROVIDED BY/(USED IN):</t>
  </si>
  <si>
    <t>Operating Activities</t>
  </si>
  <si>
    <t xml:space="preserve">    Net profit</t>
  </si>
  <si>
    <t xml:space="preserve">    Items not affecting cash resources:</t>
  </si>
  <si>
    <t xml:space="preserve">        Depreciation</t>
  </si>
  <si>
    <t xml:space="preserve">        Taxation</t>
  </si>
  <si>
    <t xml:space="preserve">        Inventories</t>
  </si>
  <si>
    <t xml:space="preserve">        Accounts receivable</t>
  </si>
  <si>
    <t xml:space="preserve">    Taxation paid</t>
  </si>
  <si>
    <t>Investing Activities</t>
  </si>
  <si>
    <t xml:space="preserve">    Purchase of fixed assets</t>
  </si>
  <si>
    <t>Financing Activities</t>
  </si>
  <si>
    <t xml:space="preserve">    Long term loan repaid</t>
  </si>
  <si>
    <t>Cash and cash equivalents at beginning of year</t>
  </si>
  <si>
    <t>CASH AND CASH EQUIVALENT AT END OF PERIOD</t>
  </si>
  <si>
    <t>INFORMATION ABOUT BUSINESS SEGMENTS</t>
  </si>
  <si>
    <t>($000)</t>
  </si>
  <si>
    <t xml:space="preserve">    Manufacturing</t>
  </si>
  <si>
    <t xml:space="preserve">       Distribution</t>
  </si>
  <si>
    <t xml:space="preserve">       Eliminations</t>
  </si>
  <si>
    <t xml:space="preserve">       Consolidated</t>
  </si>
  <si>
    <t>REVENUE</t>
  </si>
  <si>
    <t>External sales</t>
  </si>
  <si>
    <t>Inter-segment sales</t>
  </si>
  <si>
    <t xml:space="preserve">  Total revenue</t>
  </si>
  <si>
    <t>RESULTS</t>
  </si>
  <si>
    <t xml:space="preserve">  Segment result</t>
  </si>
  <si>
    <t xml:space="preserve">  Operating profit</t>
  </si>
  <si>
    <t>Income taxes</t>
  </si>
  <si>
    <t xml:space="preserve">  Net Profit</t>
  </si>
  <si>
    <t>OTHER INFORMATION</t>
  </si>
  <si>
    <t>Segment assets</t>
  </si>
  <si>
    <t>Unallocated corporate assets</t>
  </si>
  <si>
    <t xml:space="preserve">  Total consolidated assets</t>
  </si>
  <si>
    <t>Segment liabilities</t>
  </si>
  <si>
    <t>Unallocated corporate liabilities</t>
  </si>
  <si>
    <t xml:space="preserve">  Total consolidated liabilities</t>
  </si>
  <si>
    <t xml:space="preserve">    Capital expenditure</t>
  </si>
  <si>
    <t xml:space="preserve">    Unallocated capital expenditure</t>
  </si>
  <si>
    <t xml:space="preserve">      Total capital expenditure</t>
  </si>
  <si>
    <t xml:space="preserve">    Depreciation</t>
  </si>
  <si>
    <t xml:space="preserve">    Unallocated depreciation</t>
  </si>
  <si>
    <t xml:space="preserve">      Total depreciation</t>
  </si>
  <si>
    <t>Group Statement of Changes in Equity</t>
  </si>
  <si>
    <t>Number</t>
  </si>
  <si>
    <t>Share</t>
  </si>
  <si>
    <t>Capital</t>
  </si>
  <si>
    <t>of Shares</t>
  </si>
  <si>
    <t>Premium</t>
  </si>
  <si>
    <t>Reserve</t>
  </si>
  <si>
    <t>Total</t>
  </si>
  <si>
    <t>'000</t>
  </si>
  <si>
    <t>Net profit</t>
  </si>
  <si>
    <t>Gross Profit</t>
  </si>
  <si>
    <t>Operating Profit</t>
  </si>
  <si>
    <t>Taxation</t>
  </si>
  <si>
    <t>Number of Shares in issue ('000)</t>
  </si>
  <si>
    <t>Revenue</t>
  </si>
  <si>
    <t>Net Profit attributable to Stockholders</t>
  </si>
  <si>
    <t>NET ASSETS EMPLOYED</t>
  </si>
  <si>
    <t xml:space="preserve">    Fixed Assets</t>
  </si>
  <si>
    <t xml:space="preserve">    Retirement Benefit Asset</t>
  </si>
  <si>
    <t xml:space="preserve">    Deferred Tax</t>
  </si>
  <si>
    <t xml:space="preserve">    Current Assets</t>
  </si>
  <si>
    <t xml:space="preserve">    Current Liabilities</t>
  </si>
  <si>
    <t xml:space="preserve">    Net Current Assets</t>
  </si>
  <si>
    <t>FINANCED BY:</t>
  </si>
  <si>
    <t xml:space="preserve">    Share Capital</t>
  </si>
  <si>
    <t xml:space="preserve">    Share Premium</t>
  </si>
  <si>
    <t xml:space="preserve">    Capital Reserves</t>
  </si>
  <si>
    <t xml:space="preserve">    Accumulated Surplus</t>
  </si>
  <si>
    <t xml:space="preserve">    Long Term Liabilities</t>
  </si>
  <si>
    <t xml:space="preserve">    Retirement Benefit Obligations</t>
  </si>
  <si>
    <t>Approved on behalf of the Board:</t>
  </si>
  <si>
    <t>Group Statement of Cash Flows</t>
  </si>
  <si>
    <t>UNAUDITED GROUP FINANCIAL STATEMENTS</t>
  </si>
  <si>
    <t>Accumulated</t>
  </si>
  <si>
    <t>Surplus</t>
  </si>
  <si>
    <t>Unaudited</t>
  </si>
  <si>
    <t>GROUP PROFIT AND LOSS ACCOUNT</t>
  </si>
  <si>
    <t xml:space="preserve"> GROUP BALANCE SHEET</t>
  </si>
  <si>
    <t>Audited</t>
  </si>
  <si>
    <t>Profit before taxation</t>
  </si>
  <si>
    <r>
      <t xml:space="preserve">    </t>
    </r>
    <r>
      <rPr>
        <b/>
        <u val="single"/>
        <sz val="10"/>
        <rFont val="Arial"/>
        <family val="2"/>
      </rPr>
      <t>$'000</t>
    </r>
  </si>
  <si>
    <r>
      <t xml:space="preserve">      </t>
    </r>
    <r>
      <rPr>
        <b/>
        <u val="single"/>
        <sz val="10"/>
        <rFont val="Arial"/>
        <family val="2"/>
      </rPr>
      <t>$'000</t>
    </r>
  </si>
  <si>
    <t xml:space="preserve">    Proceeds on disposal of fixed assets</t>
  </si>
  <si>
    <t xml:space="preserve">    Changes in operating assets and liabilitiess:</t>
  </si>
  <si>
    <t xml:space="preserve">        Accounts payable</t>
  </si>
  <si>
    <t xml:space="preserve">    Biological Asset</t>
  </si>
  <si>
    <t xml:space="preserve">    Investments in securities, net</t>
  </si>
  <si>
    <t xml:space="preserve">    Intangible Assets</t>
  </si>
  <si>
    <t>Direct expenses</t>
  </si>
  <si>
    <t>Finance and other operating income</t>
  </si>
  <si>
    <t>Selling expenses</t>
  </si>
  <si>
    <t>Administration expenses</t>
  </si>
  <si>
    <t>Finance costs</t>
  </si>
  <si>
    <t xml:space="preserve">     A. D. Blades</t>
  </si>
  <si>
    <t xml:space="preserve"> Dr R. A. Jones</t>
  </si>
  <si>
    <t xml:space="preserve">       B. E. Thompson</t>
  </si>
  <si>
    <t xml:space="preserve">     (Chairman)</t>
  </si>
  <si>
    <t>(Vice Chairman)</t>
  </si>
  <si>
    <t>(Chief Executive Officer)</t>
  </si>
  <si>
    <t xml:space="preserve">  securities</t>
  </si>
  <si>
    <t>Fair value loss on available-for-sale</t>
  </si>
  <si>
    <t xml:space="preserve"> (Three months ending 31st March)</t>
  </si>
  <si>
    <t xml:space="preserve">    Available-for-sale investments</t>
  </si>
  <si>
    <t xml:space="preserve">    Long term receivables</t>
  </si>
  <si>
    <t>Balance as at 1  January 2008</t>
  </si>
  <si>
    <t>Balance at 31 March 2008</t>
  </si>
  <si>
    <t>31/03/2008</t>
  </si>
  <si>
    <t>2008</t>
  </si>
  <si>
    <t xml:space="preserve">        Amortisation of intangible assets</t>
  </si>
  <si>
    <t xml:space="preserve">        Biological assets</t>
  </si>
  <si>
    <t xml:space="preserve">    Loan term receivable</t>
  </si>
  <si>
    <t>FOR THE THREE MONTHS ENDED MARCH 31, 2009</t>
  </si>
  <si>
    <t>31/12/08</t>
  </si>
  <si>
    <t>31/03/09</t>
  </si>
  <si>
    <t>Balance as at 1  January 2009</t>
  </si>
  <si>
    <t>Balance at 31 March 2009</t>
  </si>
  <si>
    <t>31/03/2009</t>
  </si>
  <si>
    <t xml:space="preserve">    Short term loan receceived</t>
  </si>
  <si>
    <t>Unallocated corporate income/(expenses)</t>
  </si>
  <si>
    <t xml:space="preserve">    Cash provided by/(used in) operating activities</t>
  </si>
  <si>
    <t xml:space="preserve">    Cash used in investing activities</t>
  </si>
  <si>
    <t xml:space="preserve">    Cash provided by/(used in) financing activities</t>
  </si>
  <si>
    <t>Decrease in cash and cash equivalents</t>
  </si>
  <si>
    <t>2009</t>
  </si>
  <si>
    <t>Earnings per share ($)</t>
  </si>
  <si>
    <t xml:space="preserve">SEPROD LIMITED </t>
  </si>
  <si>
    <t>SEPROD LIMITED</t>
  </si>
  <si>
    <t xml:space="preserve">                     (Three months ending 31st March)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</si>
</sst>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b/>
      <sz val="10"/>
      <name val="Arial Black"/>
      <family val="2"/>
    </font>
    <font>
      <sz val="12"/>
      <name val="Arial"/>
      <family val="0"/>
    </font>
    <font>
      <sz val="11"/>
      <name val="Arial"/>
      <family val="0"/>
    </font>
    <font>
      <sz val="12"/>
      <name val="Arial Black"/>
      <family val="2"/>
    </font>
    <font>
      <b/>
      <sz val="12"/>
      <name val="Arial Black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5" xfId="15" applyNumberFormat="1" applyBorder="1" applyAlignment="1">
      <alignment/>
    </xf>
    <xf numFmtId="0" fontId="2" fillId="0" borderId="0" xfId="0" applyFont="1" applyAlignment="1" quotePrefix="1">
      <alignment horizontal="center"/>
    </xf>
    <xf numFmtId="164" fontId="0" fillId="0" borderId="6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6" fontId="0" fillId="0" borderId="0" xfId="0" applyNumberFormat="1" applyFont="1" applyAlignment="1">
      <alignment horizontal="center"/>
    </xf>
    <xf numFmtId="6" fontId="0" fillId="0" borderId="3" xfId="0" applyNumberFormat="1" applyFont="1" applyBorder="1" applyAlignment="1" quotePrefix="1">
      <alignment horizontal="center"/>
    </xf>
    <xf numFmtId="6" fontId="0" fillId="0" borderId="3" xfId="0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Alignment="1" quotePrefix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11" xfId="15" applyNumberFormat="1" applyBorder="1" applyAlignment="1">
      <alignment/>
    </xf>
    <xf numFmtId="164" fontId="0" fillId="0" borderId="13" xfId="15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14" fillId="0" borderId="3" xfId="15" applyNumberFormat="1" applyFont="1" applyBorder="1" applyAlignment="1">
      <alignment/>
    </xf>
    <xf numFmtId="164" fontId="14" fillId="0" borderId="0" xfId="15" applyNumberFormat="1" applyFont="1" applyAlignment="1">
      <alignment/>
    </xf>
    <xf numFmtId="164" fontId="14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164" fontId="14" fillId="0" borderId="0" xfId="15" applyNumberFormat="1" applyFont="1" applyBorder="1" applyAlignment="1">
      <alignment/>
    </xf>
    <xf numFmtId="164" fontId="14" fillId="0" borderId="0" xfId="15" applyNumberFormat="1" applyFont="1" applyAlignment="1">
      <alignment/>
    </xf>
    <xf numFmtId="0" fontId="14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14" fillId="0" borderId="3" xfId="15" applyNumberFormat="1" applyFont="1" applyBorder="1" applyAlignment="1">
      <alignment horizontal="center"/>
    </xf>
    <xf numFmtId="164" fontId="0" fillId="0" borderId="14" xfId="15" applyNumberFormat="1" applyBorder="1" applyAlignment="1">
      <alignment/>
    </xf>
    <xf numFmtId="164" fontId="14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2"/>
  <sheetViews>
    <sheetView workbookViewId="0" topLeftCell="A1">
      <selection activeCell="A3" sqref="A3:E3"/>
    </sheetView>
  </sheetViews>
  <sheetFormatPr defaultColWidth="9.140625" defaultRowHeight="12.75"/>
  <cols>
    <col min="1" max="1" width="47.00390625" style="0" customWidth="1"/>
    <col min="3" max="3" width="10.7109375" style="0" customWidth="1"/>
    <col min="5" max="5" width="10.7109375" style="0" customWidth="1"/>
    <col min="7" max="7" width="9.28125" style="0" bestFit="1" customWidth="1"/>
  </cols>
  <sheetData>
    <row r="2" spans="1:5" ht="15.75">
      <c r="A2" s="77" t="s">
        <v>129</v>
      </c>
      <c r="B2" s="78"/>
      <c r="C2" s="78"/>
      <c r="D2" s="78"/>
      <c r="E2" s="78"/>
    </row>
    <row r="3" spans="1:5" ht="12.75">
      <c r="A3" s="79" t="s">
        <v>76</v>
      </c>
      <c r="B3" s="78"/>
      <c r="C3" s="78"/>
      <c r="D3" s="78"/>
      <c r="E3" s="78"/>
    </row>
    <row r="4" spans="1:5" ht="12.75">
      <c r="A4" s="81"/>
      <c r="B4" s="78"/>
      <c r="C4" s="78"/>
      <c r="D4" s="78"/>
      <c r="E4" s="78"/>
    </row>
    <row r="6" spans="1:5" ht="12.75">
      <c r="A6" s="79" t="s">
        <v>75</v>
      </c>
      <c r="B6" s="79"/>
      <c r="C6" s="79"/>
      <c r="D6" s="79"/>
      <c r="E6" s="79"/>
    </row>
    <row r="7" spans="1:5" ht="12.75">
      <c r="A7" s="80"/>
      <c r="B7" s="80"/>
      <c r="C7" s="80"/>
      <c r="D7" s="80"/>
      <c r="E7" s="80"/>
    </row>
    <row r="8" ht="12.75">
      <c r="C8" t="s">
        <v>105</v>
      </c>
    </row>
    <row r="9" spans="1:5" ht="12.75">
      <c r="A9" s="19"/>
      <c r="B9" s="19"/>
      <c r="C9" s="16"/>
      <c r="D9" s="16"/>
      <c r="E9" s="19"/>
    </row>
    <row r="10" spans="1:5" ht="12.75">
      <c r="A10" s="16"/>
      <c r="B10" s="16"/>
      <c r="C10" s="38" t="s">
        <v>127</v>
      </c>
      <c r="D10" s="16"/>
      <c r="E10" s="38" t="s">
        <v>111</v>
      </c>
    </row>
    <row r="11" spans="1:5" ht="12.75">
      <c r="A11" s="16"/>
      <c r="B11" s="16"/>
      <c r="C11" s="19" t="s">
        <v>0</v>
      </c>
      <c r="D11" s="16"/>
      <c r="E11" s="19" t="s">
        <v>0</v>
      </c>
    </row>
    <row r="12" spans="1:5" ht="12.75">
      <c r="A12" s="3" t="s">
        <v>1</v>
      </c>
      <c r="B12" s="3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3" t="s">
        <v>2</v>
      </c>
      <c r="B14" s="3"/>
      <c r="C14" s="39"/>
      <c r="D14" s="16"/>
      <c r="E14" s="39"/>
    </row>
    <row r="15" spans="1:5" ht="12.75">
      <c r="A15" t="s">
        <v>3</v>
      </c>
      <c r="B15" s="54"/>
      <c r="C15" s="4">
        <v>455928</v>
      </c>
      <c r="D15" s="5"/>
      <c r="E15" s="4">
        <v>241022</v>
      </c>
    </row>
    <row r="16" spans="1:5" ht="12.75">
      <c r="A16" t="s">
        <v>4</v>
      </c>
      <c r="B16" s="54"/>
      <c r="C16" s="4"/>
      <c r="D16" s="5"/>
      <c r="E16" s="4"/>
    </row>
    <row r="17" spans="1:5" ht="12.75">
      <c r="A17" t="s">
        <v>112</v>
      </c>
      <c r="B17" s="54"/>
      <c r="C17" s="52">
        <f>52019-51384</f>
        <v>635</v>
      </c>
      <c r="D17" s="5"/>
      <c r="E17" s="52">
        <f>59360-58725</f>
        <v>635</v>
      </c>
    </row>
    <row r="18" spans="1:5" ht="12.75">
      <c r="A18" t="s">
        <v>5</v>
      </c>
      <c r="B18" s="54"/>
      <c r="C18" s="52">
        <f>41501+4179</f>
        <v>45680</v>
      </c>
      <c r="D18" s="5"/>
      <c r="E18" s="52">
        <f>35175+5004</f>
        <v>40179</v>
      </c>
    </row>
    <row r="19" spans="1:5" ht="12.75">
      <c r="A19" t="s">
        <v>6</v>
      </c>
      <c r="B19" s="54"/>
      <c r="C19" s="6">
        <v>211465</v>
      </c>
      <c r="D19" s="5"/>
      <c r="E19" s="6">
        <v>110962</v>
      </c>
    </row>
    <row r="20" spans="3:5" ht="12.75">
      <c r="C20" s="7">
        <f>SUM(C15:C19)</f>
        <v>713708</v>
      </c>
      <c r="E20" s="7">
        <f>SUM(E15:E19)</f>
        <v>392798</v>
      </c>
    </row>
    <row r="21" spans="1:5" ht="12.75">
      <c r="A21" t="s">
        <v>87</v>
      </c>
      <c r="C21" s="8"/>
      <c r="E21" s="8"/>
    </row>
    <row r="22" spans="1:5" ht="12.75">
      <c r="A22" t="s">
        <v>7</v>
      </c>
      <c r="C22" s="17">
        <f>1333459-1241506</f>
        <v>91953</v>
      </c>
      <c r="E22" s="17">
        <f>794994-1159692</f>
        <v>-364698</v>
      </c>
    </row>
    <row r="23" spans="1:5" ht="12.75">
      <c r="A23" t="s">
        <v>8</v>
      </c>
      <c r="C23" s="67">
        <f>+(1116357+707482+486316+52386)-C33-(1159227+808925+540898+112452)</f>
        <v>-188694</v>
      </c>
      <c r="E23" s="67">
        <f>(1211579+598910+405533+54823)-E33-(1169405+625158+402201+127866)</f>
        <v>-93917</v>
      </c>
    </row>
    <row r="24" spans="1:5" ht="12.75">
      <c r="A24" t="s">
        <v>113</v>
      </c>
      <c r="C24" s="67">
        <f>129565-132997</f>
        <v>-3432</v>
      </c>
      <c r="E24" s="67">
        <f>95630-96227</f>
        <v>-597</v>
      </c>
    </row>
    <row r="25" spans="1:5" ht="12.75">
      <c r="A25" t="s">
        <v>88</v>
      </c>
      <c r="C25" s="9">
        <f>-(339910+176016)+(343204+249024)</f>
        <v>76302</v>
      </c>
      <c r="E25" s="9">
        <f>-(295973+130782)+(261781+157458)</f>
        <v>-7516</v>
      </c>
    </row>
    <row r="26" spans="3:5" ht="12.75">
      <c r="C26" s="8">
        <f>SUM(C20:C25)</f>
        <v>689837</v>
      </c>
      <c r="E26" s="8">
        <f>SUM(E20:E25)</f>
        <v>-73930</v>
      </c>
    </row>
    <row r="27" spans="1:5" ht="12.75">
      <c r="A27" t="s">
        <v>9</v>
      </c>
      <c r="C27" s="72">
        <f>+(606-232982-335295)-C19-(2928-160211-327129)</f>
        <v>-294724</v>
      </c>
      <c r="E27" s="72">
        <f>+(649-64816-212735)-E19-(2545-82745-227271)</f>
        <v>-80393</v>
      </c>
    </row>
    <row r="28" spans="1:5" ht="12.75">
      <c r="A28" t="s">
        <v>123</v>
      </c>
      <c r="C28" s="53">
        <f>+C26+C27</f>
        <v>395113</v>
      </c>
      <c r="D28" s="10"/>
      <c r="E28" s="53">
        <f>+E26+E27</f>
        <v>-154323</v>
      </c>
    </row>
    <row r="29" spans="1:5" ht="12.75">
      <c r="A29" s="3" t="s">
        <v>10</v>
      </c>
      <c r="B29" s="3"/>
      <c r="C29" s="9"/>
      <c r="E29" s="9"/>
    </row>
    <row r="30" spans="1:5" ht="12.75">
      <c r="A30" t="s">
        <v>11</v>
      </c>
      <c r="B30" s="54"/>
      <c r="C30" s="11">
        <f>2128771-C18-C31-2172282</f>
        <v>-89783</v>
      </c>
      <c r="D30" s="5"/>
      <c r="E30" s="11">
        <f>1866885-E18-E31-1921667</f>
        <v>-95061</v>
      </c>
    </row>
    <row r="31" spans="1:5" ht="12.75">
      <c r="A31" t="s">
        <v>86</v>
      </c>
      <c r="B31" s="54"/>
      <c r="C31" s="52">
        <f>-418+930+80</f>
        <v>592</v>
      </c>
      <c r="D31" s="5"/>
      <c r="E31" s="52">
        <v>100</v>
      </c>
    </row>
    <row r="32" spans="1:5" ht="12.75">
      <c r="A32" t="s">
        <v>90</v>
      </c>
      <c r="B32" s="54"/>
      <c r="C32" s="75">
        <f>+(660192+24648+403599)-(1043600+41376+330044)-30479-2</f>
        <v>-357062</v>
      </c>
      <c r="D32" s="54"/>
      <c r="E32" s="75">
        <f>+(741271+172637)-(723934+146048)-8665+2</f>
        <v>35263</v>
      </c>
    </row>
    <row r="33" spans="1:5" ht="12.75">
      <c r="A33" t="s">
        <v>114</v>
      </c>
      <c r="B33" s="54"/>
      <c r="C33" s="6">
        <f>+(1116357+264185)-(1159227+291582)</f>
        <v>-70267</v>
      </c>
      <c r="D33" s="5"/>
      <c r="E33" s="6">
        <f>+(1211579+245715)-(1169405+247757)</f>
        <v>40132</v>
      </c>
    </row>
    <row r="34" spans="1:5" ht="12.75">
      <c r="A34" t="s">
        <v>124</v>
      </c>
      <c r="C34" s="53">
        <f>SUM(C30:C33)</f>
        <v>-516520</v>
      </c>
      <c r="E34" s="53">
        <f>SUM(E30:E33)</f>
        <v>-19566</v>
      </c>
    </row>
    <row r="35" spans="1:5" ht="12.75">
      <c r="A35" s="3" t="s">
        <v>12</v>
      </c>
      <c r="B35" s="3"/>
      <c r="C35" s="73"/>
      <c r="E35" s="73"/>
    </row>
    <row r="36" spans="1:5" ht="12.75">
      <c r="A36" t="s">
        <v>121</v>
      </c>
      <c r="C36" s="8">
        <f>0+150000</f>
        <v>150000</v>
      </c>
      <c r="D36" s="8"/>
      <c r="E36" s="8">
        <v>0</v>
      </c>
    </row>
    <row r="37" spans="1:5" ht="12.75">
      <c r="A37" t="s">
        <v>13</v>
      </c>
      <c r="B37" s="10"/>
      <c r="C37" s="74">
        <f>-(106231+126302)+(77731+105120)</f>
        <v>-49682</v>
      </c>
      <c r="D37" s="10"/>
      <c r="E37" s="74">
        <f>-(91618+170094)+(66337+162273)</f>
        <v>-33102</v>
      </c>
    </row>
    <row r="38" spans="1:5" ht="12.75">
      <c r="A38" t="s">
        <v>125</v>
      </c>
      <c r="C38" s="9">
        <f>SUM(C36:C37)</f>
        <v>100318</v>
      </c>
      <c r="E38" s="9">
        <f>SUM(E36:E37)</f>
        <v>-33102</v>
      </c>
    </row>
    <row r="39" spans="1:5" ht="12.75">
      <c r="A39" t="s">
        <v>126</v>
      </c>
      <c r="C39" s="8">
        <f>+C28+C34+C38</f>
        <v>-21089</v>
      </c>
      <c r="E39" s="8">
        <f>+E28+E34+E38</f>
        <v>-206991</v>
      </c>
    </row>
    <row r="40" spans="1:5" ht="12.75">
      <c r="A40" t="s">
        <v>14</v>
      </c>
      <c r="C40" s="12">
        <v>380186</v>
      </c>
      <c r="E40" s="12">
        <v>489793</v>
      </c>
    </row>
    <row r="41" spans="1:5" ht="13.5" thickBot="1">
      <c r="A41" s="3" t="s">
        <v>15</v>
      </c>
      <c r="B41" s="3"/>
      <c r="C41" s="13">
        <f>+C39+C40</f>
        <v>359097</v>
      </c>
      <c r="E41" s="13">
        <f>+E39+E40</f>
        <v>282802</v>
      </c>
    </row>
    <row r="42" ht="13.5" thickTop="1"/>
    <row r="43" ht="12.75">
      <c r="C43" s="8"/>
    </row>
    <row r="44" ht="12.75">
      <c r="C44" s="18"/>
    </row>
    <row r="47" spans="1:1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</sheetData>
  <mergeCells count="5">
    <mergeCell ref="A2:E2"/>
    <mergeCell ref="A6:E6"/>
    <mergeCell ref="A7:E7"/>
    <mergeCell ref="A4:E4"/>
    <mergeCell ref="A3:E3"/>
  </mergeCells>
  <printOptions/>
  <pageMargins left="0.75" right="0.75" top="0.83" bottom="0.29" header="0.16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0"/>
  <sheetViews>
    <sheetView workbookViewId="0" topLeftCell="A43">
      <selection activeCell="A11" sqref="A11"/>
    </sheetView>
  </sheetViews>
  <sheetFormatPr defaultColWidth="9.140625" defaultRowHeight="12.75"/>
  <cols>
    <col min="1" max="1" width="40.7109375" style="0" customWidth="1"/>
    <col min="3" max="3" width="10.28125" style="0" bestFit="1" customWidth="1"/>
    <col min="4" max="4" width="10.8515625" style="0" bestFit="1" customWidth="1"/>
    <col min="6" max="6" width="11.421875" style="0" customWidth="1"/>
  </cols>
  <sheetData>
    <row r="5" spans="1:4" ht="15.75">
      <c r="A5" s="37"/>
      <c r="B5" s="37" t="s">
        <v>130</v>
      </c>
      <c r="C5" s="37"/>
      <c r="D5" s="37"/>
    </row>
    <row r="6" spans="1:6" ht="12.75">
      <c r="A6" s="79" t="s">
        <v>76</v>
      </c>
      <c r="B6" s="78"/>
      <c r="C6" s="78"/>
      <c r="D6" s="78"/>
      <c r="E6" s="78"/>
      <c r="F6" s="78"/>
    </row>
    <row r="7" spans="1:6" ht="12.75">
      <c r="A7" s="81"/>
      <c r="B7" s="78"/>
      <c r="C7" s="78"/>
      <c r="D7" s="78"/>
      <c r="E7" s="78"/>
      <c r="F7" s="78"/>
    </row>
    <row r="8" spans="1:4" ht="19.5">
      <c r="A8" s="50"/>
      <c r="B8" s="51" t="s">
        <v>81</v>
      </c>
      <c r="C8" s="50"/>
      <c r="D8" s="46"/>
    </row>
    <row r="10" spans="4:6" ht="12.75">
      <c r="D10" s="3" t="s">
        <v>79</v>
      </c>
      <c r="F10" s="1" t="s">
        <v>82</v>
      </c>
    </row>
    <row r="11" spans="4:6" ht="12.75">
      <c r="D11" s="14" t="s">
        <v>117</v>
      </c>
      <c r="F11" s="14" t="s">
        <v>116</v>
      </c>
    </row>
    <row r="12" spans="1:6" ht="12.75">
      <c r="A12" s="3"/>
      <c r="D12" s="45" t="s">
        <v>84</v>
      </c>
      <c r="F12" s="45" t="s">
        <v>85</v>
      </c>
    </row>
    <row r="13" ht="12.75">
      <c r="A13" s="3" t="s">
        <v>60</v>
      </c>
    </row>
    <row r="14" spans="1:6" ht="12.75">
      <c r="A14" t="s">
        <v>61</v>
      </c>
      <c r="B14" s="8"/>
      <c r="C14" s="8"/>
      <c r="D14" s="8">
        <v>2172282</v>
      </c>
      <c r="F14" s="17">
        <v>2128771</v>
      </c>
    </row>
    <row r="15" spans="2:6" ht="12.75">
      <c r="B15" s="8"/>
      <c r="C15" s="8"/>
      <c r="D15" s="8"/>
      <c r="F15" s="8"/>
    </row>
    <row r="16" spans="1:6" ht="12.75">
      <c r="A16" t="s">
        <v>91</v>
      </c>
      <c r="B16" s="8"/>
      <c r="C16" s="8"/>
      <c r="D16" s="8">
        <v>51384</v>
      </c>
      <c r="F16" s="8">
        <v>52019</v>
      </c>
    </row>
    <row r="18" spans="1:6" ht="12.75">
      <c r="A18" t="s">
        <v>106</v>
      </c>
      <c r="B18" s="8"/>
      <c r="C18" s="8"/>
      <c r="D18" s="8">
        <f>1043600+41376</f>
        <v>1084976</v>
      </c>
      <c r="F18" s="8">
        <v>684840</v>
      </c>
    </row>
    <row r="19" spans="2:6" ht="12.75">
      <c r="B19" s="8"/>
      <c r="C19" s="8"/>
      <c r="D19" s="8"/>
      <c r="F19" s="8"/>
    </row>
    <row r="20" spans="1:6" ht="12.75">
      <c r="A20" t="s">
        <v>107</v>
      </c>
      <c r="B20" s="8"/>
      <c r="C20" s="8"/>
      <c r="D20" s="8">
        <v>1159227</v>
      </c>
      <c r="F20" s="8">
        <v>1116357</v>
      </c>
    </row>
    <row r="22" spans="1:6" ht="12.75">
      <c r="A22" t="s">
        <v>62</v>
      </c>
      <c r="B22" s="8"/>
      <c r="C22" s="8"/>
      <c r="D22" s="8">
        <v>15900</v>
      </c>
      <c r="F22" s="8">
        <v>15900</v>
      </c>
    </row>
    <row r="23" spans="2:6" ht="15">
      <c r="B23" s="8"/>
      <c r="C23" s="8"/>
      <c r="D23" s="29"/>
      <c r="F23" s="29"/>
    </row>
    <row r="24" spans="1:6" ht="12.75">
      <c r="A24" t="s">
        <v>89</v>
      </c>
      <c r="B24" s="8"/>
      <c r="C24" s="8"/>
      <c r="D24" s="8">
        <v>132997</v>
      </c>
      <c r="F24" s="8">
        <v>129565</v>
      </c>
    </row>
    <row r="26" spans="1:6" ht="12.75">
      <c r="A26" t="s">
        <v>63</v>
      </c>
      <c r="B26" s="8"/>
      <c r="C26" s="8"/>
      <c r="D26" s="8">
        <v>2928</v>
      </c>
      <c r="F26" s="8">
        <v>606</v>
      </c>
    </row>
    <row r="27" spans="1:6" ht="12.75">
      <c r="A27" s="3"/>
      <c r="B27" s="8"/>
      <c r="C27" s="8"/>
      <c r="D27" s="8"/>
      <c r="F27" s="8"/>
    </row>
    <row r="28" spans="1:6" ht="12.75">
      <c r="A28" t="s">
        <v>64</v>
      </c>
      <c r="B28" s="8"/>
      <c r="C28" s="8"/>
      <c r="D28" s="32">
        <v>3392922</v>
      </c>
      <c r="E28" s="5"/>
      <c r="F28" s="11">
        <v>3379779</v>
      </c>
    </row>
    <row r="29" spans="2:6" ht="12.75">
      <c r="B29" s="8"/>
      <c r="C29" s="8"/>
      <c r="D29" s="33"/>
      <c r="E29" s="5"/>
      <c r="F29" s="4"/>
    </row>
    <row r="30" spans="1:6" ht="12.75">
      <c r="A30" t="s">
        <v>65</v>
      </c>
      <c r="B30" s="8"/>
      <c r="C30" s="8"/>
      <c r="D30" s="34">
        <f>-980169+1</f>
        <v>-980168</v>
      </c>
      <c r="E30" s="5"/>
      <c r="F30" s="55">
        <v>-871490</v>
      </c>
    </row>
    <row r="31" spans="2:6" ht="12.75">
      <c r="B31" s="8"/>
      <c r="C31" s="8"/>
      <c r="D31" s="7"/>
      <c r="E31" s="10"/>
      <c r="F31" s="7"/>
    </row>
    <row r="32" spans="1:6" ht="12.75">
      <c r="A32" t="s">
        <v>66</v>
      </c>
      <c r="B32" s="8"/>
      <c r="C32" s="8"/>
      <c r="D32" s="7">
        <f>+D28+D30</f>
        <v>2412754</v>
      </c>
      <c r="F32" s="7">
        <f>+F28+F30</f>
        <v>2508289</v>
      </c>
    </row>
    <row r="33" spans="2:6" ht="12.75">
      <c r="B33" s="8"/>
      <c r="C33" s="8"/>
      <c r="D33" s="8"/>
      <c r="F33" s="8"/>
    </row>
    <row r="34" spans="1:6" ht="13.5" thickBot="1">
      <c r="A34" s="3"/>
      <c r="B34" s="8"/>
      <c r="C34" s="8"/>
      <c r="D34" s="13">
        <f>SUM(D14:D27)+D32</f>
        <v>7032448</v>
      </c>
      <c r="F34" s="13">
        <f>SUM(F14:F27)+F32</f>
        <v>6636347</v>
      </c>
    </row>
    <row r="35" spans="2:6" ht="13.5" thickTop="1">
      <c r="B35" s="8"/>
      <c r="C35" s="8"/>
      <c r="D35" s="8"/>
      <c r="F35" s="8"/>
    </row>
    <row r="36" spans="1:6" ht="12.75">
      <c r="A36" s="3" t="s">
        <v>67</v>
      </c>
      <c r="B36" s="8"/>
      <c r="C36" s="8"/>
      <c r="D36" s="8"/>
      <c r="F36" s="8"/>
    </row>
    <row r="37" spans="1:6" ht="12.75">
      <c r="A37" t="s">
        <v>68</v>
      </c>
      <c r="B37" s="8"/>
      <c r="C37" s="8"/>
      <c r="D37" s="8">
        <v>516398</v>
      </c>
      <c r="F37" s="8">
        <v>516398</v>
      </c>
    </row>
    <row r="38" spans="2:6" ht="12.75">
      <c r="B38" s="8"/>
      <c r="C38" s="8"/>
      <c r="D38" s="8"/>
      <c r="F38" s="8"/>
    </row>
    <row r="39" spans="1:6" ht="12.75">
      <c r="A39" t="s">
        <v>69</v>
      </c>
      <c r="B39" s="8"/>
      <c r="C39" s="8"/>
      <c r="D39" s="8">
        <v>44889</v>
      </c>
      <c r="F39" s="8">
        <v>44889</v>
      </c>
    </row>
    <row r="40" spans="1:6" ht="12.75">
      <c r="A40" s="16"/>
      <c r="B40" s="8"/>
      <c r="C40" s="8"/>
      <c r="D40" s="8"/>
      <c r="F40" s="8"/>
    </row>
    <row r="41" spans="1:6" ht="12.75">
      <c r="A41" s="35" t="s">
        <v>70</v>
      </c>
      <c r="B41" s="8"/>
      <c r="C41" s="8"/>
      <c r="D41" s="8">
        <f>386989+346552+1</f>
        <v>733542</v>
      </c>
      <c r="F41" s="8">
        <f>764021</f>
        <v>764021</v>
      </c>
    </row>
    <row r="42" spans="1:6" ht="12.75">
      <c r="A42" s="31"/>
      <c r="B42" s="8"/>
      <c r="C42" s="8"/>
      <c r="D42" s="8"/>
      <c r="F42" s="8"/>
    </row>
    <row r="43" spans="1:6" ht="12.75">
      <c r="A43" s="36" t="s">
        <v>71</v>
      </c>
      <c r="B43" s="8"/>
      <c r="C43" s="8"/>
      <c r="D43" s="8">
        <v>5005970</v>
      </c>
      <c r="F43" s="17">
        <v>4550042</v>
      </c>
    </row>
    <row r="44" spans="1:6" ht="12.75">
      <c r="A44" s="31"/>
      <c r="B44" s="8"/>
      <c r="C44" s="8"/>
      <c r="D44" s="9"/>
      <c r="F44" s="9"/>
    </row>
    <row r="45" spans="1:6" ht="12.75">
      <c r="A45" s="31"/>
      <c r="B45" s="8"/>
      <c r="C45" s="8"/>
      <c r="D45" s="8">
        <f>SUM(D37:D44)</f>
        <v>6300799</v>
      </c>
      <c r="F45" s="8">
        <f>SUM(F37:F44)</f>
        <v>5875350</v>
      </c>
    </row>
    <row r="46" spans="1:6" ht="12.75">
      <c r="A46" s="31"/>
      <c r="B46" s="8"/>
      <c r="C46" s="8"/>
      <c r="D46" s="9"/>
      <c r="F46" s="9"/>
    </row>
    <row r="47" spans="1:6" ht="12.75">
      <c r="A47" s="31" t="s">
        <v>72</v>
      </c>
      <c r="B47" s="8"/>
      <c r="C47" s="8"/>
      <c r="D47" s="56">
        <f>105120+240000</f>
        <v>345120</v>
      </c>
      <c r="E47" s="5"/>
      <c r="F47" s="59">
        <v>366302</v>
      </c>
    </row>
    <row r="48" spans="1:6" ht="12.75">
      <c r="A48" s="31"/>
      <c r="B48" s="8"/>
      <c r="C48" s="8"/>
      <c r="D48" s="33"/>
      <c r="E48" s="5"/>
      <c r="F48" s="58"/>
    </row>
    <row r="49" spans="1:6" ht="12.75">
      <c r="A49" s="31" t="s">
        <v>63</v>
      </c>
      <c r="B49" s="8"/>
      <c r="C49" s="8"/>
      <c r="D49" s="33">
        <v>327129</v>
      </c>
      <c r="E49" s="5"/>
      <c r="F49" s="58">
        <v>335295</v>
      </c>
    </row>
    <row r="50" spans="1:6" ht="12.75">
      <c r="A50" s="31"/>
      <c r="B50" s="8"/>
      <c r="C50" s="8"/>
      <c r="D50" s="33"/>
      <c r="E50" s="5"/>
      <c r="F50" s="58"/>
    </row>
    <row r="51" spans="1:6" ht="12.75">
      <c r="A51" s="31" t="s">
        <v>73</v>
      </c>
      <c r="B51" s="8"/>
      <c r="C51" s="8"/>
      <c r="D51" s="34">
        <v>59400</v>
      </c>
      <c r="E51" s="5"/>
      <c r="F51" s="57">
        <v>59400</v>
      </c>
    </row>
    <row r="52" spans="1:6" ht="12.75">
      <c r="A52" s="31"/>
      <c r="B52" s="8"/>
      <c r="C52" s="8"/>
      <c r="D52" s="53">
        <f>SUM(D47:D51)</f>
        <v>731649</v>
      </c>
      <c r="F52" s="53">
        <f>SUM(F47:F51)</f>
        <v>760997</v>
      </c>
    </row>
    <row r="53" spans="1:6" ht="13.5" thickBot="1">
      <c r="A53" s="31"/>
      <c r="B53" s="8"/>
      <c r="C53" s="8"/>
      <c r="D53" s="13">
        <f>+D52+D45</f>
        <v>7032448</v>
      </c>
      <c r="F53" s="13">
        <f>+F52+F45</f>
        <v>6636347</v>
      </c>
    </row>
    <row r="54" ht="13.5" thickTop="1"/>
    <row r="55" spans="1:6" ht="14.25">
      <c r="A55" s="47" t="s">
        <v>74</v>
      </c>
      <c r="B55" s="48"/>
      <c r="C55" s="48"/>
      <c r="D55" s="48"/>
      <c r="E55" s="49"/>
      <c r="F55" s="48"/>
    </row>
    <row r="56" spans="1:6" ht="14.25">
      <c r="A56" s="47"/>
      <c r="B56" s="48"/>
      <c r="C56" s="48"/>
      <c r="D56" s="48"/>
      <c r="E56" s="49"/>
      <c r="F56" s="48"/>
    </row>
    <row r="57" spans="1:6" ht="14.25">
      <c r="A57" s="47"/>
      <c r="B57" s="48"/>
      <c r="C57" s="48"/>
      <c r="D57" s="48"/>
      <c r="E57" s="49"/>
      <c r="F57" s="48"/>
    </row>
    <row r="58" spans="1:6" ht="14.25">
      <c r="A58" s="49"/>
      <c r="B58" s="49"/>
      <c r="C58" s="49"/>
      <c r="D58" s="49"/>
      <c r="E58" s="49"/>
      <c r="F58" s="49"/>
    </row>
    <row r="59" spans="1:6" ht="12.75">
      <c r="A59" t="s">
        <v>97</v>
      </c>
      <c r="B59" s="69" t="s">
        <v>98</v>
      </c>
      <c r="C59" s="8"/>
      <c r="D59" s="8"/>
      <c r="E59" s="60" t="s">
        <v>99</v>
      </c>
      <c r="F59" s="8"/>
    </row>
    <row r="60" spans="1:6" ht="12.75">
      <c r="A60" t="s">
        <v>100</v>
      </c>
      <c r="B60" s="69" t="s">
        <v>101</v>
      </c>
      <c r="C60" s="8"/>
      <c r="D60" s="8"/>
      <c r="E60" t="s">
        <v>102</v>
      </c>
      <c r="F60" s="8"/>
    </row>
  </sheetData>
  <mergeCells count="2">
    <mergeCell ref="A7:F7"/>
    <mergeCell ref="A6:F6"/>
  </mergeCells>
  <printOptions/>
  <pageMargins left="0.75" right="0.5" top="0.27" bottom="0.29" header="0.3" footer="0.29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53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6.28125" style="0" customWidth="1"/>
    <col min="2" max="3" width="14.57421875" style="0" customWidth="1"/>
    <col min="4" max="5" width="13.7109375" style="0" customWidth="1"/>
    <col min="6" max="6" width="1.421875" style="0" customWidth="1"/>
  </cols>
  <sheetData>
    <row r="5" spans="1:4" ht="15.75">
      <c r="A5" s="37"/>
      <c r="B5" s="37" t="s">
        <v>130</v>
      </c>
      <c r="C5" s="37"/>
      <c r="D5" s="37"/>
    </row>
    <row r="6" ht="12.75">
      <c r="B6" s="1" t="s">
        <v>76</v>
      </c>
    </row>
    <row r="7" spans="1:5" ht="15.75">
      <c r="A7" s="40"/>
      <c r="B7" s="41" t="s">
        <v>115</v>
      </c>
      <c r="C7" s="40"/>
      <c r="D7" s="40"/>
      <c r="E7" s="42"/>
    </row>
    <row r="9" spans="1:5" ht="15">
      <c r="A9" s="43"/>
      <c r="B9" s="44" t="s">
        <v>80</v>
      </c>
      <c r="C9" s="43"/>
      <c r="D9" s="43"/>
      <c r="E9" s="43"/>
    </row>
    <row r="11" spans="2:4" ht="12.75">
      <c r="B11" s="60"/>
      <c r="D11" s="60"/>
    </row>
    <row r="12" ht="12.75">
      <c r="C12" t="s">
        <v>131</v>
      </c>
    </row>
    <row r="13" spans="2:5" ht="12.75">
      <c r="B13" s="2"/>
      <c r="C13" s="70">
        <v>2009</v>
      </c>
      <c r="D13" s="70"/>
      <c r="E13" s="70">
        <v>2008</v>
      </c>
    </row>
    <row r="14" spans="3:5" ht="12.75">
      <c r="C14" s="70"/>
      <c r="D14" s="70"/>
      <c r="E14" s="70"/>
    </row>
    <row r="15" spans="3:5" ht="12.75">
      <c r="C15" s="70"/>
      <c r="D15" s="70"/>
      <c r="E15" s="70"/>
    </row>
    <row r="16" spans="2:5" ht="12.75">
      <c r="B16" s="61"/>
      <c r="C16" s="71" t="s">
        <v>0</v>
      </c>
      <c r="D16" s="71"/>
      <c r="E16" s="71" t="s">
        <v>0</v>
      </c>
    </row>
    <row r="19" spans="1:5" ht="12.75">
      <c r="A19" s="3" t="s">
        <v>58</v>
      </c>
      <c r="B19" s="8"/>
      <c r="C19" s="8">
        <v>2483643</v>
      </c>
      <c r="D19" s="8"/>
      <c r="E19" s="8">
        <v>2010374</v>
      </c>
    </row>
    <row r="20" spans="2:5" ht="12.75">
      <c r="B20" s="8"/>
      <c r="C20" s="8"/>
      <c r="D20" s="8"/>
      <c r="E20" s="8"/>
    </row>
    <row r="21" spans="1:5" ht="15">
      <c r="A21" t="s">
        <v>92</v>
      </c>
      <c r="B21" s="29"/>
      <c r="C21" s="29">
        <v>-1787891</v>
      </c>
      <c r="D21" s="29"/>
      <c r="E21" s="29">
        <v>-1480231</v>
      </c>
    </row>
    <row r="22" spans="2:5" ht="12.75">
      <c r="B22" s="8"/>
      <c r="C22" s="8"/>
      <c r="D22" s="8"/>
      <c r="E22" s="8"/>
    </row>
    <row r="23" spans="1:5" ht="12.75">
      <c r="A23" s="3" t="s">
        <v>54</v>
      </c>
      <c r="B23" s="8"/>
      <c r="C23" s="8">
        <f>+C19+C21</f>
        <v>695752</v>
      </c>
      <c r="D23" s="8"/>
      <c r="E23" s="8">
        <f>+E19+E21</f>
        <v>530143</v>
      </c>
    </row>
    <row r="24" spans="2:5" ht="12.75">
      <c r="B24" s="8"/>
      <c r="C24" s="8"/>
      <c r="D24" s="8"/>
      <c r="E24" s="8"/>
    </row>
    <row r="25" spans="1:5" ht="12.75">
      <c r="A25" t="s">
        <v>93</v>
      </c>
      <c r="B25" s="63"/>
      <c r="C25" s="8">
        <f>301215+12578</f>
        <v>313793</v>
      </c>
      <c r="D25" s="8"/>
      <c r="E25" s="8">
        <f>82794+8748</f>
        <v>91542</v>
      </c>
    </row>
    <row r="26" spans="1:5" ht="12.75">
      <c r="A26" t="s">
        <v>94</v>
      </c>
      <c r="B26" s="8"/>
      <c r="C26" s="8">
        <v>-63208</v>
      </c>
      <c r="D26" s="8"/>
      <c r="E26" s="8">
        <v>-52767</v>
      </c>
    </row>
    <row r="27" spans="1:5" ht="15">
      <c r="A27" t="s">
        <v>95</v>
      </c>
      <c r="B27" s="29"/>
      <c r="C27" s="29">
        <v>-269527</v>
      </c>
      <c r="D27" s="29"/>
      <c r="E27" s="29">
        <v>-209920</v>
      </c>
    </row>
    <row r="28" spans="2:5" ht="12.75">
      <c r="B28" s="8"/>
      <c r="C28" s="8"/>
      <c r="D28" s="8"/>
      <c r="E28" s="8"/>
    </row>
    <row r="29" spans="1:5" ht="12.75">
      <c r="A29" s="3" t="s">
        <v>55</v>
      </c>
      <c r="B29" s="8"/>
      <c r="C29" s="8">
        <f>SUM(C23:C27)</f>
        <v>676810</v>
      </c>
      <c r="D29" s="8"/>
      <c r="E29" s="8">
        <f>SUM(E23:E27)</f>
        <v>358998</v>
      </c>
    </row>
    <row r="31" spans="1:5" ht="15">
      <c r="A31" t="s">
        <v>96</v>
      </c>
      <c r="B31" s="64"/>
      <c r="C31" s="76">
        <v>-9417</v>
      </c>
      <c r="D31" s="24"/>
      <c r="E31" s="76">
        <v>-7014</v>
      </c>
    </row>
    <row r="32" spans="2:5" ht="12.75">
      <c r="B32" s="24"/>
      <c r="C32" s="24"/>
      <c r="D32" s="24"/>
      <c r="E32" s="24"/>
    </row>
    <row r="33" spans="1:5" ht="12.75">
      <c r="A33" s="3" t="s">
        <v>83</v>
      </c>
      <c r="B33" s="8"/>
      <c r="C33" s="8">
        <f>SUM(C29:C32)</f>
        <v>667393</v>
      </c>
      <c r="D33" s="8"/>
      <c r="E33" s="8">
        <f>SUM(E29:E32)</f>
        <v>351984</v>
      </c>
    </row>
    <row r="34" spans="2:5" ht="15">
      <c r="B34" s="29"/>
      <c r="C34" s="29"/>
      <c r="D34" s="29"/>
      <c r="E34" s="29"/>
    </row>
    <row r="35" spans="1:5" ht="12.75">
      <c r="A35" t="s">
        <v>56</v>
      </c>
      <c r="B35" s="8"/>
      <c r="C35" s="8">
        <v>-211465</v>
      </c>
      <c r="D35" s="8"/>
      <c r="E35" s="8">
        <v>-110962</v>
      </c>
    </row>
    <row r="36" spans="2:5" ht="12.75">
      <c r="B36" s="8"/>
      <c r="C36" s="8"/>
      <c r="D36" s="8"/>
      <c r="E36" s="8"/>
    </row>
    <row r="37" spans="1:5" ht="13.5" thickBot="1">
      <c r="A37" s="3" t="s">
        <v>59</v>
      </c>
      <c r="B37" s="8"/>
      <c r="C37" s="13">
        <f>SUM(C33:C36)</f>
        <v>455928</v>
      </c>
      <c r="D37" s="8"/>
      <c r="E37" s="13">
        <f>SUM(E33:E36)</f>
        <v>241022</v>
      </c>
    </row>
    <row r="38" spans="2:5" ht="13.5" thickTop="1">
      <c r="B38" s="8"/>
      <c r="C38" s="18"/>
      <c r="D38" s="8"/>
      <c r="E38" s="18"/>
    </row>
    <row r="40" spans="1:5" ht="12.75">
      <c r="A40" s="3" t="s">
        <v>57</v>
      </c>
      <c r="B40" s="8"/>
      <c r="C40" s="8">
        <v>516398</v>
      </c>
      <c r="D40" s="8"/>
      <c r="E40" s="8">
        <v>516398</v>
      </c>
    </row>
    <row r="42" spans="1:5" ht="12.75">
      <c r="A42" s="3" t="s">
        <v>128</v>
      </c>
      <c r="B42" s="30"/>
      <c r="C42" s="30">
        <f>+C37/C40</f>
        <v>0.8829003985298162</v>
      </c>
      <c r="D42" s="30"/>
      <c r="E42" s="30">
        <f>+E37/E40</f>
        <v>0.46673689673468916</v>
      </c>
    </row>
    <row r="51" ht="12.75">
      <c r="A51" s="16"/>
    </row>
    <row r="52" ht="12.75">
      <c r="A52" s="68"/>
    </row>
    <row r="53" ht="12.75">
      <c r="A53" s="68"/>
    </row>
  </sheetData>
  <printOptions/>
  <pageMargins left="0.55" right="0.59" top="0.94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2" sqref="A2:R2"/>
    </sheetView>
  </sheetViews>
  <sheetFormatPr defaultColWidth="9.140625" defaultRowHeight="12.75"/>
  <cols>
    <col min="1" max="1" width="29.7109375" style="0" customWidth="1"/>
    <col min="2" max="2" width="0.85546875" style="0" customWidth="1"/>
    <col min="3" max="3" width="10.8515625" style="0" bestFit="1" customWidth="1"/>
    <col min="4" max="4" width="0.85546875" style="0" customWidth="1"/>
    <col min="5" max="5" width="10.28125" style="0" customWidth="1"/>
    <col min="6" max="6" width="3.7109375" style="0" hidden="1" customWidth="1"/>
    <col min="7" max="7" width="0.9921875" style="0" customWidth="1"/>
    <col min="8" max="8" width="10.28125" style="0" bestFit="1" customWidth="1"/>
    <col min="9" max="9" width="0.71875" style="0" customWidth="1"/>
    <col min="10" max="10" width="10.28125" style="0" bestFit="1" customWidth="1"/>
    <col min="11" max="11" width="0.85546875" style="0" customWidth="1"/>
    <col min="12" max="12" width="10.8515625" style="0" bestFit="1" customWidth="1"/>
    <col min="13" max="13" width="0.85546875" style="0" customWidth="1"/>
    <col min="14" max="14" width="10.8515625" style="0" customWidth="1"/>
    <col min="15" max="15" width="0.85546875" style="0" customWidth="1"/>
    <col min="16" max="16" width="10.8515625" style="0" bestFit="1" customWidth="1"/>
    <col min="17" max="17" width="0.9921875" style="0" customWidth="1"/>
    <col min="18" max="18" width="11.28125" style="0" bestFit="1" customWidth="1"/>
    <col min="19" max="19" width="3.7109375" style="0" customWidth="1"/>
  </cols>
  <sheetData>
    <row r="1" spans="1:18" ht="15.75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2.75">
      <c r="A2" s="79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2.75">
      <c r="A3" s="81" t="str">
        <f>+'Profit &amp; Loss'!B7</f>
        <v>FOR THE THREE MONTHS ENDED MARCH 31, 2009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5.75">
      <c r="A5" s="77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ht="12.75">
      <c r="B6" s="3"/>
    </row>
    <row r="7" spans="2:8" ht="12.75">
      <c r="B7" s="3"/>
      <c r="H7" s="14" t="s">
        <v>17</v>
      </c>
    </row>
    <row r="8" ht="12.75">
      <c r="B8" s="3"/>
    </row>
    <row r="9" spans="2:16" ht="12.75">
      <c r="B9" s="3"/>
      <c r="C9" s="3" t="s">
        <v>18</v>
      </c>
      <c r="H9" s="3" t="s">
        <v>19</v>
      </c>
      <c r="L9" s="3" t="s">
        <v>20</v>
      </c>
      <c r="P9" s="3" t="s">
        <v>21</v>
      </c>
    </row>
    <row r="11" spans="2:18" ht="12.75">
      <c r="B11" s="3"/>
      <c r="C11" s="2" t="s">
        <v>120</v>
      </c>
      <c r="D11" s="2"/>
      <c r="E11" s="2" t="s">
        <v>110</v>
      </c>
      <c r="F11" s="2"/>
      <c r="G11" s="2"/>
      <c r="H11" s="2" t="str">
        <f>+C11</f>
        <v>31/03/2009</v>
      </c>
      <c r="I11" s="2"/>
      <c r="J11" s="2" t="str">
        <f>+E11</f>
        <v>31/03/2008</v>
      </c>
      <c r="K11" s="2"/>
      <c r="L11" s="2" t="str">
        <f>+H11</f>
        <v>31/03/2009</v>
      </c>
      <c r="M11" s="2"/>
      <c r="N11" s="2" t="str">
        <f>+J11</f>
        <v>31/03/2008</v>
      </c>
      <c r="O11" s="2"/>
      <c r="P11" s="2" t="str">
        <f>+L11</f>
        <v>31/03/2009</v>
      </c>
      <c r="Q11" s="2"/>
      <c r="R11" s="2" t="str">
        <f>+N11</f>
        <v>31/03/2008</v>
      </c>
    </row>
    <row r="12" ht="12.75">
      <c r="B12" s="3"/>
    </row>
    <row r="13" spans="1:2" ht="12.75">
      <c r="A13" s="3" t="s">
        <v>22</v>
      </c>
      <c r="B13" s="3"/>
    </row>
    <row r="14" spans="1:18" ht="12.75">
      <c r="A14" t="s">
        <v>23</v>
      </c>
      <c r="B14" s="3"/>
      <c r="C14" s="8">
        <f>251933+1237455+398455+90062+171342-C15</f>
        <v>1536845</v>
      </c>
      <c r="D14" s="8"/>
      <c r="E14" s="8">
        <f>+(193786+1029621+355062+58270+134920)-E15</f>
        <v>1322862</v>
      </c>
      <c r="F14" s="8"/>
      <c r="G14" s="8"/>
      <c r="H14" s="8">
        <f>946798-H15</f>
        <v>946798</v>
      </c>
      <c r="I14" s="8"/>
      <c r="J14" s="8">
        <f>687512-J15</f>
        <v>687512</v>
      </c>
      <c r="K14" s="8"/>
      <c r="L14" s="8">
        <v>0</v>
      </c>
      <c r="M14" s="8"/>
      <c r="N14" s="8">
        <v>0</v>
      </c>
      <c r="O14" s="8"/>
      <c r="P14" s="8">
        <f>+B14+C14+H14+L14</f>
        <v>2483643</v>
      </c>
      <c r="Q14" s="8"/>
      <c r="R14" s="8">
        <f>+D14+E14+J14+N14</f>
        <v>2010374</v>
      </c>
    </row>
    <row r="15" spans="1:18" ht="12.75">
      <c r="A15" t="s">
        <v>24</v>
      </c>
      <c r="B15" s="3"/>
      <c r="C15" s="62">
        <v>612402</v>
      </c>
      <c r="D15" s="8"/>
      <c r="E15" s="62">
        <f>591623-142826</f>
        <v>448797</v>
      </c>
      <c r="F15" s="8"/>
      <c r="G15" s="8"/>
      <c r="H15" s="12">
        <v>0</v>
      </c>
      <c r="I15" s="8"/>
      <c r="J15" s="12">
        <v>0</v>
      </c>
      <c r="K15" s="8"/>
      <c r="L15" s="9">
        <f>-C15-H15</f>
        <v>-612402</v>
      </c>
      <c r="M15" s="8"/>
      <c r="N15" s="9">
        <f>-E15-J15</f>
        <v>-448797</v>
      </c>
      <c r="O15" s="8"/>
      <c r="P15" s="8"/>
      <c r="Q15" s="8"/>
      <c r="R15" s="8"/>
    </row>
    <row r="16" spans="1:18" ht="13.5" thickBot="1">
      <c r="A16" t="s">
        <v>25</v>
      </c>
      <c r="B16" s="3"/>
      <c r="C16" s="13">
        <f>+C14+C15</f>
        <v>2149247</v>
      </c>
      <c r="D16" s="8"/>
      <c r="E16" s="13">
        <f>+E14+E15</f>
        <v>1771659</v>
      </c>
      <c r="F16" s="8"/>
      <c r="G16" s="8"/>
      <c r="H16" s="13">
        <f>+H14+H15</f>
        <v>946798</v>
      </c>
      <c r="I16" s="8"/>
      <c r="J16" s="13">
        <f>+J14+J15</f>
        <v>687512</v>
      </c>
      <c r="K16" s="8"/>
      <c r="L16" s="13">
        <f>+L14+L15</f>
        <v>-612402</v>
      </c>
      <c r="M16" s="8"/>
      <c r="N16" s="13">
        <f>+N14+N15</f>
        <v>-448797</v>
      </c>
      <c r="O16" s="8"/>
      <c r="P16" s="15">
        <f>B16+C16+H16+L16</f>
        <v>2483643</v>
      </c>
      <c r="Q16" s="8"/>
      <c r="R16" s="15">
        <f>D16+E16+J16+N16</f>
        <v>2010374</v>
      </c>
    </row>
    <row r="17" spans="1:18" ht="13.5" thickTop="1">
      <c r="A17" s="3" t="s">
        <v>26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3.5" thickBot="1">
      <c r="A18" t="s">
        <v>27</v>
      </c>
      <c r="B18" s="3"/>
      <c r="C18" s="15">
        <f>46908+284522+39658+3300-8003+56049</f>
        <v>422434</v>
      </c>
      <c r="D18" s="8"/>
      <c r="E18" s="15">
        <f>30610+183558+57688-407-5282+45954</f>
        <v>312121</v>
      </c>
      <c r="F18" s="8"/>
      <c r="G18" s="8"/>
      <c r="H18" s="15">
        <v>69587</v>
      </c>
      <c r="I18" s="8"/>
      <c r="J18" s="15">
        <v>51445</v>
      </c>
      <c r="K18" s="8"/>
      <c r="L18" s="15"/>
      <c r="M18" s="8"/>
      <c r="N18" s="15"/>
      <c r="O18" s="8"/>
      <c r="P18" s="7">
        <f>B18+C18+H18+L18</f>
        <v>492021</v>
      </c>
      <c r="Q18" s="8"/>
      <c r="R18" s="7">
        <f>D18+E18+J18+N18</f>
        <v>363566</v>
      </c>
    </row>
    <row r="19" spans="1:18" ht="13.5" thickTop="1">
      <c r="A19" s="65" t="s">
        <v>122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2">
        <f>-1132+1182-116476+301215</f>
        <v>184789</v>
      </c>
      <c r="Q19" s="8"/>
      <c r="R19" s="62">
        <f>-867+970-87465+82794</f>
        <v>-4568</v>
      </c>
    </row>
    <row r="20" spans="1:18" ht="12.75">
      <c r="A20" t="s">
        <v>28</v>
      </c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>+P18+P19</f>
        <v>676810</v>
      </c>
      <c r="Q20" s="8"/>
      <c r="R20" s="8">
        <f>+R18+R19</f>
        <v>358998</v>
      </c>
    </row>
    <row r="21" spans="1:18" ht="12.75">
      <c r="A21" s="65" t="s">
        <v>96</v>
      </c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6">
        <v>-9417</v>
      </c>
      <c r="Q21" s="8"/>
      <c r="R21" s="66">
        <v>-7014</v>
      </c>
    </row>
    <row r="22" spans="1:18" ht="12.75">
      <c r="A22" t="s">
        <v>29</v>
      </c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>
        <v>-211465</v>
      </c>
      <c r="Q22" s="8"/>
      <c r="R22" s="7">
        <v>-110962</v>
      </c>
    </row>
    <row r="23" spans="1:18" ht="13.5" thickBot="1">
      <c r="A23" t="s">
        <v>30</v>
      </c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3">
        <f>SUM(P20:P22)</f>
        <v>455928</v>
      </c>
      <c r="Q23" s="8"/>
      <c r="R23" s="13">
        <f>SUM(R20:R22)</f>
        <v>241022</v>
      </c>
    </row>
    <row r="24" spans="2:18" ht="13.5" thickTop="1">
      <c r="B24" s="3"/>
      <c r="C24" s="17"/>
      <c r="D24" s="8"/>
      <c r="E24" s="1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3" t="s">
        <v>31</v>
      </c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16" t="s">
        <v>32</v>
      </c>
      <c r="B26" s="3"/>
      <c r="C26" s="17">
        <f>+(564993+2322+1340637-542964)+(91730+597152-511896)+(398530+523950)+(590744+33120)+(129740+7470)+(335151+21384+251790)</f>
        <v>3833853</v>
      </c>
      <c r="D26" s="8"/>
      <c r="E26" s="17">
        <f>+(551624+1857+951052-30575)+(72968+539658-453852)+(258898+338974)+(503487+19804)+(130862+2696)+(324560+23925+228211-80883)</f>
        <v>3383266</v>
      </c>
      <c r="F26" s="8"/>
      <c r="G26" s="8"/>
      <c r="H26" s="8">
        <f>+(6653+606+557463)</f>
        <v>564722</v>
      </c>
      <c r="I26" s="8"/>
      <c r="J26" s="8">
        <f>+(5234+688+416491)</f>
        <v>422413</v>
      </c>
      <c r="K26" s="8"/>
      <c r="L26" s="17">
        <v>0</v>
      </c>
      <c r="M26" s="8"/>
      <c r="N26" s="17">
        <v>0</v>
      </c>
      <c r="O26" s="8"/>
      <c r="P26" s="8">
        <f>+B26+C26+H26+L26</f>
        <v>4398575</v>
      </c>
      <c r="Q26" s="8"/>
      <c r="R26" s="8">
        <f>+D26+E26+J26+N26</f>
        <v>3805679</v>
      </c>
    </row>
    <row r="27" spans="1:18" ht="12.75">
      <c r="A27" t="s">
        <v>33</v>
      </c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3">
        <f>7032448+980168-P26</f>
        <v>3614041</v>
      </c>
      <c r="Q27" s="8"/>
      <c r="R27" s="63">
        <f>6172048+568322-R26</f>
        <v>2934691</v>
      </c>
    </row>
    <row r="28" spans="1:18" ht="13.5" thickBot="1">
      <c r="A28" t="s">
        <v>34</v>
      </c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3">
        <f>+P26+P27</f>
        <v>8012616</v>
      </c>
      <c r="Q28" s="8"/>
      <c r="R28" s="13">
        <f>+R26+R27</f>
        <v>6740370</v>
      </c>
    </row>
    <row r="29" spans="1:18" ht="13.5" thickTop="1">
      <c r="A29" t="s">
        <v>35</v>
      </c>
      <c r="B29" s="3"/>
      <c r="C29" s="17">
        <f>-(175102+34341+415044-250017+232681-208418+22456-21555+94002-24616)</f>
        <v>-469020</v>
      </c>
      <c r="D29" s="8"/>
      <c r="E29" s="17">
        <f>-(155755+36788+181118-89462+167418-138856+12674-11559+54014)</f>
        <v>-367890</v>
      </c>
      <c r="F29" s="8"/>
      <c r="G29" s="8"/>
      <c r="H29" s="17">
        <f>-(244700-171482)</f>
        <v>-73218</v>
      </c>
      <c r="I29" s="8"/>
      <c r="J29" s="17">
        <f>-(246349-194977)</f>
        <v>-51372</v>
      </c>
      <c r="K29" s="8"/>
      <c r="L29" s="17">
        <f>-L26</f>
        <v>0</v>
      </c>
      <c r="M29" s="8"/>
      <c r="N29" s="17">
        <f>-N26</f>
        <v>0</v>
      </c>
      <c r="O29" s="8"/>
      <c r="P29" s="8">
        <f>+B29+C29+H29+L29</f>
        <v>-542238</v>
      </c>
      <c r="Q29" s="8"/>
      <c r="R29" s="8">
        <f>+D29+E29+J29+N29</f>
        <v>-419262</v>
      </c>
    </row>
    <row r="30" spans="1:18" ht="12.75">
      <c r="A30" t="s">
        <v>36</v>
      </c>
      <c r="B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3">
        <f>-(980168+105120+240000+59400+327129)-P29</f>
        <v>-1169579</v>
      </c>
      <c r="Q30" s="8"/>
      <c r="R30" s="63">
        <f>-(568322+162273+240000+54600+227271)-R29</f>
        <v>-833204</v>
      </c>
    </row>
    <row r="31" spans="1:18" ht="13.5" thickBot="1">
      <c r="A31" t="s">
        <v>37</v>
      </c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3">
        <f>+P29+P30</f>
        <v>-1711817</v>
      </c>
      <c r="Q31" s="8"/>
      <c r="R31" s="13">
        <f>+R29+R30</f>
        <v>-1252466</v>
      </c>
    </row>
    <row r="32" spans="1:18" ht="13.5" thickTop="1">
      <c r="A32" t="s">
        <v>38</v>
      </c>
      <c r="B32" s="3"/>
      <c r="C32" s="8">
        <f>-(562809+84311+376549+580529+130027+342272)+C35+(564993+91730+398530+590744+129740+335151)</f>
        <v>75400</v>
      </c>
      <c r="D32" s="8"/>
      <c r="E32" s="8">
        <f>-(550461+70074+257040+454365+131045+329812)+E35+(551624+72968+258898+503487+130862+324560)</f>
        <v>84267</v>
      </c>
      <c r="F32" s="8"/>
      <c r="G32" s="8"/>
      <c r="H32" s="8">
        <f>-(4001)+H35+(6653)</f>
        <v>3144</v>
      </c>
      <c r="I32" s="8"/>
      <c r="J32" s="8">
        <f>-(4894)+J35+(5234)</f>
        <v>850</v>
      </c>
      <c r="K32" s="8"/>
      <c r="L32" s="8"/>
      <c r="M32" s="8"/>
      <c r="N32" s="8"/>
      <c r="O32" s="8"/>
      <c r="P32" s="8">
        <f>+C32+H32+L32</f>
        <v>78544</v>
      </c>
      <c r="Q32" s="8"/>
      <c r="R32" s="8">
        <f>+E32+J32+N32</f>
        <v>85117</v>
      </c>
    </row>
    <row r="33" spans="1:18" ht="12.75">
      <c r="A33" t="s">
        <v>39</v>
      </c>
      <c r="B33" s="3"/>
      <c r="C33" s="17"/>
      <c r="D33" s="8"/>
      <c r="E33" s="17"/>
      <c r="F33" s="8"/>
      <c r="G33" s="8"/>
      <c r="H33" s="17"/>
      <c r="I33" s="8"/>
      <c r="J33" s="17"/>
      <c r="K33" s="8"/>
      <c r="L33" s="8"/>
      <c r="M33" s="8"/>
      <c r="N33" s="8"/>
      <c r="O33" s="8"/>
      <c r="P33" s="8">
        <f>-(139486)+P36+(149388)-2</f>
        <v>14079</v>
      </c>
      <c r="Q33" s="8"/>
      <c r="R33" s="8">
        <f>-(118609)+R36+(124025)+(21)</f>
        <v>10441</v>
      </c>
    </row>
    <row r="34" spans="1:18" ht="13.5" thickBot="1">
      <c r="A34" t="s">
        <v>40</v>
      </c>
      <c r="B34" s="3"/>
      <c r="C34" s="17"/>
      <c r="D34" s="8"/>
      <c r="E34" s="17"/>
      <c r="F34" s="8"/>
      <c r="G34" s="8"/>
      <c r="H34" s="17"/>
      <c r="I34" s="8"/>
      <c r="J34" s="17"/>
      <c r="K34" s="8"/>
      <c r="L34" s="8"/>
      <c r="M34" s="8"/>
      <c r="N34" s="8"/>
      <c r="O34" s="8"/>
      <c r="P34" s="13">
        <f>SUM(P32:P33)</f>
        <v>92623</v>
      </c>
      <c r="Q34" s="8"/>
      <c r="R34" s="13">
        <f>SUM(R32:R33)</f>
        <v>95558</v>
      </c>
    </row>
    <row r="35" spans="1:18" ht="13.5" thickTop="1">
      <c r="A35" t="s">
        <v>41</v>
      </c>
      <c r="B35" s="3"/>
      <c r="C35" s="17">
        <v>41009</v>
      </c>
      <c r="D35" s="8"/>
      <c r="E35" s="17">
        <f>5782+15014+8871+2575+285+2138</f>
        <v>34665</v>
      </c>
      <c r="F35" s="8"/>
      <c r="G35" s="8"/>
      <c r="H35" s="17">
        <v>492</v>
      </c>
      <c r="I35" s="8"/>
      <c r="J35" s="17">
        <v>510</v>
      </c>
      <c r="K35" s="8"/>
      <c r="L35" s="8"/>
      <c r="M35" s="8"/>
      <c r="N35" s="8"/>
      <c r="O35" s="8"/>
      <c r="P35" s="8">
        <f>+C35+H35+L35</f>
        <v>41501</v>
      </c>
      <c r="Q35" s="8"/>
      <c r="R35" s="8">
        <f>+E35+J35+N35</f>
        <v>35175</v>
      </c>
    </row>
    <row r="36" spans="1:18" ht="12.75">
      <c r="A36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>
        <v>4179</v>
      </c>
      <c r="Q36" s="8"/>
      <c r="R36" s="9">
        <v>5004</v>
      </c>
    </row>
    <row r="37" spans="1:18" ht="13.5" thickBot="1">
      <c r="A37" t="s">
        <v>43</v>
      </c>
      <c r="P37" s="13">
        <f>+P35+P36</f>
        <v>45680</v>
      </c>
      <c r="R37" s="13">
        <f>+R35+R36</f>
        <v>40179</v>
      </c>
    </row>
    <row r="38" ht="13.5" thickTop="1"/>
    <row r="42" ht="12.75">
      <c r="A42" s="1"/>
    </row>
  </sheetData>
  <mergeCells count="4">
    <mergeCell ref="A5:R5"/>
    <mergeCell ref="A3:R4"/>
    <mergeCell ref="A2:R2"/>
    <mergeCell ref="A1:R1"/>
  </mergeCells>
  <printOptions/>
  <pageMargins left="0.85" right="0.71" top="0.53" bottom="1" header="0.5" footer="0.5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39"/>
  <sheetViews>
    <sheetView workbookViewId="0" topLeftCell="A1">
      <selection activeCell="A7" sqref="A7:H7"/>
    </sheetView>
  </sheetViews>
  <sheetFormatPr defaultColWidth="9.140625" defaultRowHeight="12.75"/>
  <cols>
    <col min="1" max="1" width="33.7109375" style="0" customWidth="1"/>
    <col min="2" max="5" width="10.28125" style="0" customWidth="1"/>
    <col min="6" max="6" width="0.2890625" style="0" customWidth="1"/>
    <col min="7" max="8" width="10.28125" style="0" bestFit="1" customWidth="1"/>
  </cols>
  <sheetData>
    <row r="5" spans="1:8" ht="15.75">
      <c r="A5" s="77" t="s">
        <v>130</v>
      </c>
      <c r="B5" s="82"/>
      <c r="C5" s="82"/>
      <c r="D5" s="82"/>
      <c r="E5" s="82"/>
      <c r="F5" s="82"/>
      <c r="G5" s="82"/>
      <c r="H5" s="82"/>
    </row>
    <row r="6" spans="1:8" ht="12.75">
      <c r="A6" s="79" t="s">
        <v>76</v>
      </c>
      <c r="B6" s="82"/>
      <c r="C6" s="82"/>
      <c r="D6" s="82"/>
      <c r="E6" s="82"/>
      <c r="F6" s="82"/>
      <c r="G6" s="82"/>
      <c r="H6" s="82"/>
    </row>
    <row r="7" spans="1:8" ht="12.75">
      <c r="A7" s="81"/>
      <c r="B7" s="82"/>
      <c r="C7" s="82"/>
      <c r="D7" s="82"/>
      <c r="E7" s="82"/>
      <c r="F7" s="82"/>
      <c r="G7" s="82"/>
      <c r="H7" s="8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79" t="s">
        <v>44</v>
      </c>
      <c r="B9" s="79"/>
      <c r="C9" s="79"/>
      <c r="D9" s="79"/>
      <c r="E9" s="79"/>
      <c r="F9" s="79"/>
      <c r="G9" s="79"/>
      <c r="H9" s="79"/>
    </row>
    <row r="10" spans="1:8" ht="12.75">
      <c r="A10" s="80"/>
      <c r="B10" s="80"/>
      <c r="C10" s="80"/>
      <c r="D10" s="80"/>
      <c r="E10" s="80"/>
      <c r="F10" s="80"/>
      <c r="G10" s="80"/>
      <c r="H10" s="80"/>
    </row>
    <row r="11" spans="1:8" ht="12.75">
      <c r="A11" s="19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9" t="s">
        <v>45</v>
      </c>
      <c r="C13" s="19" t="s">
        <v>46</v>
      </c>
      <c r="D13" s="19" t="s">
        <v>46</v>
      </c>
      <c r="E13" s="19" t="s">
        <v>47</v>
      </c>
      <c r="F13" s="20"/>
      <c r="G13" s="19" t="s">
        <v>77</v>
      </c>
      <c r="H13" s="20"/>
    </row>
    <row r="14" spans="1:8" ht="12.75">
      <c r="A14" s="16"/>
      <c r="B14" s="19" t="s">
        <v>48</v>
      </c>
      <c r="C14" s="19" t="s">
        <v>47</v>
      </c>
      <c r="D14" s="19" t="s">
        <v>49</v>
      </c>
      <c r="E14" s="19" t="s">
        <v>50</v>
      </c>
      <c r="F14" s="20"/>
      <c r="G14" s="19" t="s">
        <v>78</v>
      </c>
      <c r="H14" s="19" t="s">
        <v>51</v>
      </c>
    </row>
    <row r="15" spans="1:8" ht="12.75">
      <c r="A15" s="21"/>
      <c r="B15" s="22" t="s">
        <v>52</v>
      </c>
      <c r="C15" s="23" t="s">
        <v>0</v>
      </c>
      <c r="D15" s="23" t="s">
        <v>0</v>
      </c>
      <c r="E15" s="23" t="s">
        <v>0</v>
      </c>
      <c r="F15" s="23"/>
      <c r="G15" s="23" t="s">
        <v>0</v>
      </c>
      <c r="H15" s="23" t="s">
        <v>0</v>
      </c>
    </row>
    <row r="16" spans="1:8" ht="12.75">
      <c r="A16" s="16"/>
      <c r="B16" s="24"/>
      <c r="C16" s="24"/>
      <c r="D16" s="24"/>
      <c r="E16" s="24"/>
      <c r="F16" s="24"/>
      <c r="G16" s="24"/>
      <c r="H16" s="24"/>
    </row>
    <row r="17" spans="1:8" ht="12.75">
      <c r="A17" s="16" t="s">
        <v>108</v>
      </c>
      <c r="B17" s="25">
        <v>516398</v>
      </c>
      <c r="C17" s="25">
        <v>516398</v>
      </c>
      <c r="D17" s="25">
        <v>44889</v>
      </c>
      <c r="E17" s="25">
        <f>502710+346553+1</f>
        <v>849264</v>
      </c>
      <c r="F17" s="25"/>
      <c r="G17" s="25">
        <v>3844996</v>
      </c>
      <c r="H17" s="25">
        <f>SUM(C17:G17)</f>
        <v>5255547</v>
      </c>
    </row>
    <row r="18" spans="1:8" ht="12.75">
      <c r="A18" s="16"/>
      <c r="B18" s="26"/>
      <c r="C18" s="26"/>
      <c r="D18" s="26"/>
      <c r="E18" s="26"/>
      <c r="F18" s="26"/>
      <c r="G18" s="26"/>
      <c r="H18" s="26"/>
    </row>
    <row r="19" spans="1:8" ht="12.75">
      <c r="A19" s="16" t="s">
        <v>53</v>
      </c>
      <c r="B19" s="26">
        <v>0</v>
      </c>
      <c r="C19" s="26">
        <v>0</v>
      </c>
      <c r="D19" s="26">
        <v>0</v>
      </c>
      <c r="E19" s="26">
        <v>0</v>
      </c>
      <c r="F19" s="26"/>
      <c r="G19" s="26">
        <v>241022</v>
      </c>
      <c r="H19" s="26">
        <f>+G19</f>
        <v>241022</v>
      </c>
    </row>
    <row r="21" ht="12.75">
      <c r="A21" s="16" t="s">
        <v>104</v>
      </c>
    </row>
    <row r="22" spans="1:8" ht="12.75">
      <c r="A22" s="16" t="s">
        <v>103</v>
      </c>
      <c r="B22" s="27">
        <v>0</v>
      </c>
      <c r="C22" s="27">
        <v>0</v>
      </c>
      <c r="D22" s="27">
        <v>0</v>
      </c>
      <c r="E22" s="27">
        <f>494045-502710</f>
        <v>-8665</v>
      </c>
      <c r="F22" s="27">
        <v>0</v>
      </c>
      <c r="G22" s="27">
        <v>0</v>
      </c>
      <c r="H22" s="27">
        <f>+E22</f>
        <v>-8665</v>
      </c>
    </row>
    <row r="23" spans="1:8" ht="12.75">
      <c r="A23" s="16"/>
      <c r="B23" s="26"/>
      <c r="C23" s="26"/>
      <c r="D23" s="26"/>
      <c r="E23" s="26"/>
      <c r="F23" s="26"/>
      <c r="G23" s="26"/>
      <c r="H23" s="26"/>
    </row>
    <row r="24" spans="1:8" ht="13.5" thickBot="1">
      <c r="A24" s="16" t="s">
        <v>109</v>
      </c>
      <c r="B24" s="28">
        <f>SUM(B17:B22)</f>
        <v>516398</v>
      </c>
      <c r="C24" s="28">
        <f>SUM(C17:C22)</f>
        <v>516398</v>
      </c>
      <c r="D24" s="28">
        <f>SUM(D17:D22)</f>
        <v>44889</v>
      </c>
      <c r="E24" s="28">
        <f>SUM(E17:E22)</f>
        <v>840599</v>
      </c>
      <c r="F24" s="28"/>
      <c r="G24" s="28">
        <f>SUM(G17:G22)</f>
        <v>4086018</v>
      </c>
      <c r="H24" s="28">
        <f>SUM(H17:H22)</f>
        <v>5487904</v>
      </c>
    </row>
    <row r="25" spans="1:8" ht="13.5" thickTop="1">
      <c r="A25" s="16"/>
      <c r="B25" s="24"/>
      <c r="C25" s="24"/>
      <c r="D25" s="24"/>
      <c r="E25" s="24"/>
      <c r="F25" s="24"/>
      <c r="G25" s="24"/>
      <c r="H25" s="24"/>
    </row>
    <row r="27" spans="1:8" ht="12.75">
      <c r="A27" s="16"/>
      <c r="B27" s="26"/>
      <c r="C27" s="26"/>
      <c r="D27" s="26"/>
      <c r="E27" s="26"/>
      <c r="F27" s="26"/>
      <c r="G27" s="26"/>
      <c r="H27" s="26"/>
    </row>
    <row r="28" spans="1:8" ht="12.75">
      <c r="A28" s="16"/>
      <c r="B28" s="19" t="s">
        <v>45</v>
      </c>
      <c r="C28" s="19" t="s">
        <v>46</v>
      </c>
      <c r="D28" s="19" t="s">
        <v>46</v>
      </c>
      <c r="E28" s="19" t="s">
        <v>47</v>
      </c>
      <c r="F28" s="20"/>
      <c r="G28" s="19" t="s">
        <v>77</v>
      </c>
      <c r="H28" s="20"/>
    </row>
    <row r="29" spans="1:8" ht="12.75">
      <c r="A29" s="16"/>
      <c r="B29" s="19" t="s">
        <v>48</v>
      </c>
      <c r="C29" s="19" t="s">
        <v>47</v>
      </c>
      <c r="D29" s="19" t="s">
        <v>49</v>
      </c>
      <c r="E29" s="19" t="s">
        <v>50</v>
      </c>
      <c r="F29" s="20"/>
      <c r="G29" s="19" t="s">
        <v>78</v>
      </c>
      <c r="H29" s="19" t="s">
        <v>51</v>
      </c>
    </row>
    <row r="30" spans="1:8" ht="12.75">
      <c r="A30" s="21"/>
      <c r="B30" s="22" t="s">
        <v>52</v>
      </c>
      <c r="C30" s="23" t="s">
        <v>0</v>
      </c>
      <c r="D30" s="23" t="s">
        <v>0</v>
      </c>
      <c r="E30" s="23" t="s">
        <v>0</v>
      </c>
      <c r="F30" s="23"/>
      <c r="G30" s="23" t="s">
        <v>0</v>
      </c>
      <c r="H30" s="23" t="s">
        <v>0</v>
      </c>
    </row>
    <row r="31" spans="1:8" ht="12.75">
      <c r="A31" s="16"/>
      <c r="B31" s="24"/>
      <c r="C31" s="24"/>
      <c r="D31" s="24"/>
      <c r="E31" s="24"/>
      <c r="F31" s="24"/>
      <c r="G31" s="24"/>
      <c r="H31" s="24"/>
    </row>
    <row r="32" spans="1:8" ht="12.75">
      <c r="A32" s="16" t="s">
        <v>118</v>
      </c>
      <c r="B32" s="25">
        <v>516398</v>
      </c>
      <c r="C32" s="25">
        <v>516398</v>
      </c>
      <c r="D32" s="25">
        <v>44889</v>
      </c>
      <c r="E32" s="25">
        <f>417468+346552+1</f>
        <v>764021</v>
      </c>
      <c r="F32" s="25"/>
      <c r="G32" s="25">
        <v>4550042</v>
      </c>
      <c r="H32" s="25">
        <f>SUM(C32:G32)</f>
        <v>5875350</v>
      </c>
    </row>
    <row r="33" spans="1:8" ht="12.75">
      <c r="A33" s="16"/>
      <c r="B33" s="26"/>
      <c r="C33" s="26"/>
      <c r="D33" s="26"/>
      <c r="E33" s="26"/>
      <c r="F33" s="26"/>
      <c r="G33" s="26"/>
      <c r="H33" s="26"/>
    </row>
    <row r="34" spans="1:8" ht="12.75">
      <c r="A34" s="16" t="s">
        <v>53</v>
      </c>
      <c r="B34" s="26">
        <v>0</v>
      </c>
      <c r="C34" s="26">
        <v>0</v>
      </c>
      <c r="D34" s="26">
        <v>0</v>
      </c>
      <c r="E34" s="26">
        <v>0</v>
      </c>
      <c r="F34" s="26"/>
      <c r="G34" s="26">
        <v>455928</v>
      </c>
      <c r="H34" s="26">
        <f>+G34</f>
        <v>455928</v>
      </c>
    </row>
    <row r="36" ht="12.75">
      <c r="A36" s="16" t="s">
        <v>104</v>
      </c>
    </row>
    <row r="37" spans="1:8" ht="12.75">
      <c r="A37" s="16" t="s">
        <v>103</v>
      </c>
      <c r="B37" s="27">
        <v>0</v>
      </c>
      <c r="C37" s="27">
        <v>0</v>
      </c>
      <c r="D37" s="27">
        <v>0</v>
      </c>
      <c r="E37" s="27">
        <f>386989-417468</f>
        <v>-30479</v>
      </c>
      <c r="F37" s="27">
        <v>0</v>
      </c>
      <c r="G37" s="27">
        <v>0</v>
      </c>
      <c r="H37" s="27">
        <f>+E37</f>
        <v>-30479</v>
      </c>
    </row>
    <row r="38" spans="1:8" ht="12.75">
      <c r="A38" s="16"/>
      <c r="B38" s="26"/>
      <c r="C38" s="26"/>
      <c r="D38" s="26"/>
      <c r="E38" s="26"/>
      <c r="F38" s="26"/>
      <c r="G38" s="26"/>
      <c r="H38" s="26"/>
    </row>
    <row r="39" spans="1:8" ht="13.5" thickBot="1">
      <c r="A39" s="16" t="s">
        <v>119</v>
      </c>
      <c r="B39" s="28">
        <f>SUM(B32:B37)</f>
        <v>516398</v>
      </c>
      <c r="C39" s="28">
        <f>SUM(C32:C37)</f>
        <v>516398</v>
      </c>
      <c r="D39" s="28">
        <f>SUM(D32:D37)</f>
        <v>44889</v>
      </c>
      <c r="E39" s="28">
        <f>SUM(E32:E37)</f>
        <v>733542</v>
      </c>
      <c r="F39" s="28"/>
      <c r="G39" s="28">
        <f>SUM(G32:G37)</f>
        <v>5005970</v>
      </c>
      <c r="H39" s="28">
        <f>SUM(H32:H37)</f>
        <v>6300799</v>
      </c>
    </row>
    <row r="40" ht="13.5" thickTop="1"/>
  </sheetData>
  <mergeCells count="5">
    <mergeCell ref="A5:H5"/>
    <mergeCell ref="A10:H10"/>
    <mergeCell ref="A9:H9"/>
    <mergeCell ref="A7:H7"/>
    <mergeCell ref="A6:H6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gbraham</dc:creator>
  <cp:keywords/>
  <dc:description/>
  <cp:lastModifiedBy>fgayle</cp:lastModifiedBy>
  <cp:lastPrinted>2009-05-04T14:04:50Z</cp:lastPrinted>
  <dcterms:created xsi:type="dcterms:W3CDTF">2005-04-08T16:14:24Z</dcterms:created>
  <dcterms:modified xsi:type="dcterms:W3CDTF">2009-05-06T20:53:46Z</dcterms:modified>
  <cp:category/>
  <cp:version/>
  <cp:contentType/>
  <cp:contentStatus/>
</cp:coreProperties>
</file>