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850" windowHeight="5730" activeTab="1"/>
  </bookViews>
  <sheets>
    <sheet name="Cash flow" sheetId="1" r:id="rId1"/>
    <sheet name="Balance Sheet" sheetId="2" r:id="rId2"/>
    <sheet name="Profit &amp; Loss" sheetId="3" r:id="rId3"/>
    <sheet name="Segment Report" sheetId="4" r:id="rId4"/>
    <sheet name="Changes in Equity" sheetId="5" r:id="rId5"/>
  </sheets>
  <definedNames/>
  <calcPr fullCalcOnLoad="1"/>
</workbook>
</file>

<file path=xl/sharedStrings.xml><?xml version="1.0" encoding="utf-8"?>
<sst xmlns="http://schemas.openxmlformats.org/spreadsheetml/2006/main" count="180" uniqueCount="138">
  <si>
    <t>$'000</t>
  </si>
  <si>
    <t>CASH RESOURCES WERE PROVIDED BY/(USED IN):</t>
  </si>
  <si>
    <t>Operating Activities</t>
  </si>
  <si>
    <t xml:space="preserve">    Net profit</t>
  </si>
  <si>
    <t xml:space="preserve">    Items not affecting cash resources:</t>
  </si>
  <si>
    <t xml:space="preserve">        Depreciation</t>
  </si>
  <si>
    <t xml:space="preserve">        Share of results of associated companies</t>
  </si>
  <si>
    <t xml:space="preserve">        Taxation</t>
  </si>
  <si>
    <t xml:space="preserve">        Inventories</t>
  </si>
  <si>
    <t xml:space="preserve">        Accounts receivable</t>
  </si>
  <si>
    <t xml:space="preserve">    Taxation paid</t>
  </si>
  <si>
    <t xml:space="preserve">    Cash provided by operating activities</t>
  </si>
  <si>
    <t>Investing Activities</t>
  </si>
  <si>
    <t xml:space="preserve">    Purchase of fixed assets</t>
  </si>
  <si>
    <t xml:space="preserve">    Investments</t>
  </si>
  <si>
    <t>Financing Activities</t>
  </si>
  <si>
    <t xml:space="preserve">    Long term loan repaid</t>
  </si>
  <si>
    <t>Cash and cash equivalents at beginning of year</t>
  </si>
  <si>
    <t>CASH AND CASH EQUIVALENT AT END OF PERIOD</t>
  </si>
  <si>
    <t>INFORMATION ABOUT BUSINESS SEGMENTS</t>
  </si>
  <si>
    <t>($000)</t>
  </si>
  <si>
    <t xml:space="preserve">    Manufacturing</t>
  </si>
  <si>
    <t xml:space="preserve">       Distribution</t>
  </si>
  <si>
    <t xml:space="preserve">       Eliminations</t>
  </si>
  <si>
    <t xml:space="preserve">       Consolidated</t>
  </si>
  <si>
    <t>REVENUE</t>
  </si>
  <si>
    <t>External sales</t>
  </si>
  <si>
    <t>Inter-segment sales</t>
  </si>
  <si>
    <t xml:space="preserve">  Total revenue</t>
  </si>
  <si>
    <t>RESULTS</t>
  </si>
  <si>
    <t xml:space="preserve">  Segment result</t>
  </si>
  <si>
    <t xml:space="preserve">  Operating profit</t>
  </si>
  <si>
    <t>Share of net profits of associates</t>
  </si>
  <si>
    <t>Income taxes</t>
  </si>
  <si>
    <t xml:space="preserve">  Net Profit</t>
  </si>
  <si>
    <t>OTHER INFORMATION</t>
  </si>
  <si>
    <t>Segment assets</t>
  </si>
  <si>
    <t>Investment in associates</t>
  </si>
  <si>
    <t>Unallocated corporate assets</t>
  </si>
  <si>
    <t xml:space="preserve">  Total consolidated assets</t>
  </si>
  <si>
    <t>Segment liabilities</t>
  </si>
  <si>
    <t>Unallocated corporate liabilities</t>
  </si>
  <si>
    <t xml:space="preserve">  Total consolidated liabilities</t>
  </si>
  <si>
    <t xml:space="preserve">    Capital expenditure</t>
  </si>
  <si>
    <t xml:space="preserve">    Unallocated capital expenditure</t>
  </si>
  <si>
    <t xml:space="preserve">      Total capital expenditure</t>
  </si>
  <si>
    <t xml:space="preserve">    Depreciation</t>
  </si>
  <si>
    <t xml:space="preserve">    Unallocated depreciation</t>
  </si>
  <si>
    <t xml:space="preserve">      Total depreciation</t>
  </si>
  <si>
    <t>Group Statement of Changes in Equity</t>
  </si>
  <si>
    <t>Number</t>
  </si>
  <si>
    <t>Share</t>
  </si>
  <si>
    <t>Capital</t>
  </si>
  <si>
    <t>of Shares</t>
  </si>
  <si>
    <t>Premium</t>
  </si>
  <si>
    <t>Reserve</t>
  </si>
  <si>
    <t>Total</t>
  </si>
  <si>
    <t>'000</t>
  </si>
  <si>
    <t>Net profit</t>
  </si>
  <si>
    <t>Gross Profit</t>
  </si>
  <si>
    <t>Operating Profit</t>
  </si>
  <si>
    <t>Taxation</t>
  </si>
  <si>
    <t>Number of Shares in issue ('000)</t>
  </si>
  <si>
    <t>Earnings per share</t>
  </si>
  <si>
    <t>Revenue</t>
  </si>
  <si>
    <t>Net Profit attributable to Stockholders</t>
  </si>
  <si>
    <t>NET ASSETS EMPLOYED</t>
  </si>
  <si>
    <t xml:space="preserve">    Fixed Assets</t>
  </si>
  <si>
    <t xml:space="preserve">    Retirement Benefit Asset</t>
  </si>
  <si>
    <t xml:space="preserve">    Deferred Tax</t>
  </si>
  <si>
    <t xml:space="preserve">    Current Assets</t>
  </si>
  <si>
    <t xml:space="preserve">    Current Liabilities</t>
  </si>
  <si>
    <t xml:space="preserve">    Net Current Assets</t>
  </si>
  <si>
    <t>FINANCED BY:</t>
  </si>
  <si>
    <t xml:space="preserve">    Share Capital</t>
  </si>
  <si>
    <t xml:space="preserve">    Share Premium</t>
  </si>
  <si>
    <t xml:space="preserve">    Capital Reserves</t>
  </si>
  <si>
    <t xml:space="preserve">    Accumulated Surplus</t>
  </si>
  <si>
    <t xml:space="preserve">    Long Term Liabilities</t>
  </si>
  <si>
    <t xml:space="preserve">    Retirement Benefit Obligations</t>
  </si>
  <si>
    <t>Approved on behalf of the Board:</t>
  </si>
  <si>
    <t>Group Statement of Cash Flows</t>
  </si>
  <si>
    <t>SEPROD LIMITED AND ITS SUBSIDIARIES</t>
  </si>
  <si>
    <t>UNAUDITED GROUP FINANCIAL STATEMENTS</t>
  </si>
  <si>
    <t>Accumulated</t>
  </si>
  <si>
    <t>Surplus</t>
  </si>
  <si>
    <t>Unaudited</t>
  </si>
  <si>
    <t>GROUP PROFIT AND LOSS ACCOUNT</t>
  </si>
  <si>
    <t xml:space="preserve"> GROUP BALANCE SHEET</t>
  </si>
  <si>
    <t>Audited</t>
  </si>
  <si>
    <t>Profit before taxation</t>
  </si>
  <si>
    <r>
      <t xml:space="preserve">    </t>
    </r>
    <r>
      <rPr>
        <b/>
        <u val="single"/>
        <sz val="10"/>
        <rFont val="Arial"/>
        <family val="2"/>
      </rPr>
      <t>$'000</t>
    </r>
  </si>
  <si>
    <r>
      <t xml:space="preserve">      </t>
    </r>
    <r>
      <rPr>
        <b/>
        <u val="single"/>
        <sz val="10"/>
        <rFont val="Arial"/>
        <family val="2"/>
      </rPr>
      <t>$'000</t>
    </r>
  </si>
  <si>
    <t xml:space="preserve">    Proceeds on disposal of fixed assets</t>
  </si>
  <si>
    <t xml:space="preserve">    Changes in operating assets and liabilitiess:</t>
  </si>
  <si>
    <t xml:space="preserve">        Accounts payable</t>
  </si>
  <si>
    <t xml:space="preserve">    Cash used in investing activities</t>
  </si>
  <si>
    <t xml:space="preserve">    Biological Asset</t>
  </si>
  <si>
    <t xml:space="preserve">    Investments in securities, net</t>
  </si>
  <si>
    <t xml:space="preserve">    Intangible Assets</t>
  </si>
  <si>
    <t>Direct expenses</t>
  </si>
  <si>
    <t>Finance and other operating income</t>
  </si>
  <si>
    <t>Selling expenses</t>
  </si>
  <si>
    <t>Administration expenses</t>
  </si>
  <si>
    <t>Finance costs</t>
  </si>
  <si>
    <t>&lt;Three months ending June 30th&gt;</t>
  </si>
  <si>
    <t>&lt;Six months ending June 30th&gt;</t>
  </si>
  <si>
    <t xml:space="preserve">    Short term loan received</t>
  </si>
  <si>
    <t>.</t>
  </si>
  <si>
    <t>(Vice Chairman)</t>
  </si>
  <si>
    <t>(Chief Executive Officer)</t>
  </si>
  <si>
    <t xml:space="preserve">    (Six months ending 30th June)</t>
  </si>
  <si>
    <t>Increase in cash and cash equivalents</t>
  </si>
  <si>
    <t xml:space="preserve">    Cash provided by /(used in) financing activities</t>
  </si>
  <si>
    <t xml:space="preserve">  securities</t>
  </si>
  <si>
    <t>Fair value loss on available-for-sale</t>
  </si>
  <si>
    <t>Unallocated corporate expenses</t>
  </si>
  <si>
    <t>Balance as at 1  January 2007</t>
  </si>
  <si>
    <t>Balance at 30 June 2007</t>
  </si>
  <si>
    <t xml:space="preserve">        Biological assets</t>
  </si>
  <si>
    <t>2007</t>
  </si>
  <si>
    <t>30/06/2007</t>
  </si>
  <si>
    <t>FOR THE SIX MONTHS ENDED JUNE 30, 2008</t>
  </si>
  <si>
    <t>31/12/07</t>
  </si>
  <si>
    <t>30/06/08</t>
  </si>
  <si>
    <t>Dividends paid</t>
  </si>
  <si>
    <t>Balance as at 1  January 2008</t>
  </si>
  <si>
    <t>Balance at 30 June 2008</t>
  </si>
  <si>
    <t>30/06/2008</t>
  </si>
  <si>
    <t>2008</t>
  </si>
  <si>
    <t xml:space="preserve">        Amortisation of intangible assets</t>
  </si>
  <si>
    <t xml:space="preserve">    Long term receivable</t>
  </si>
  <si>
    <t xml:space="preserve">    Dividends paid</t>
  </si>
  <si>
    <t>Share of results of associates (Note 1)</t>
  </si>
  <si>
    <t xml:space="preserve"> Dr. R. A. Jones</t>
  </si>
  <si>
    <t>B. E. Thompson</t>
  </si>
  <si>
    <t xml:space="preserve"> </t>
  </si>
  <si>
    <t xml:space="preserve">    Long Term Receivables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</si>
</sst>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b/>
      <sz val="10"/>
      <name val="Arial Black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5" xfId="15" applyNumberFormat="1" applyBorder="1" applyAlignment="1">
      <alignment/>
    </xf>
    <xf numFmtId="0" fontId="2" fillId="0" borderId="0" xfId="0" applyFont="1" applyAlignment="1" quotePrefix="1">
      <alignment horizontal="center"/>
    </xf>
    <xf numFmtId="164" fontId="0" fillId="0" borderId="6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 horizontal="center"/>
    </xf>
    <xf numFmtId="6" fontId="0" fillId="0" borderId="3" xfId="0" applyNumberFormat="1" applyFont="1" applyBorder="1" applyAlignment="1" quotePrefix="1">
      <alignment horizontal="center"/>
    </xf>
    <xf numFmtId="6" fontId="0" fillId="0" borderId="3" xfId="0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 quotePrefix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0" fontId="0" fillId="0" borderId="3" xfId="0" applyFont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164" fontId="0" fillId="0" borderId="1" xfId="15" applyNumberFormat="1" applyFont="1" applyBorder="1" applyAlignment="1">
      <alignment/>
    </xf>
    <xf numFmtId="164" fontId="0" fillId="0" borderId="7" xfId="15" applyNumberFormat="1" applyBorder="1" applyAlignment="1">
      <alignment/>
    </xf>
    <xf numFmtId="0" fontId="0" fillId="0" borderId="8" xfId="0" applyBorder="1" applyAlignment="1">
      <alignment/>
    </xf>
    <xf numFmtId="164" fontId="1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4" xfId="15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10" fillId="0" borderId="3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164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9" xfId="15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3"/>
  <sheetViews>
    <sheetView workbookViewId="0" topLeftCell="A14">
      <selection activeCell="C16" sqref="C16"/>
    </sheetView>
  </sheetViews>
  <sheetFormatPr defaultColWidth="9.140625" defaultRowHeight="12.75"/>
  <cols>
    <col min="1" max="1" width="47.00390625" style="0" customWidth="1"/>
    <col min="3" max="3" width="10.7109375" style="0" customWidth="1"/>
    <col min="5" max="5" width="10.7109375" style="0" customWidth="1"/>
    <col min="7" max="7" width="9.28125" style="0" bestFit="1" customWidth="1"/>
  </cols>
  <sheetData>
    <row r="2" spans="1:5" ht="15.75">
      <c r="A2" s="80" t="s">
        <v>82</v>
      </c>
      <c r="B2" s="81"/>
      <c r="C2" s="81"/>
      <c r="D2" s="81"/>
      <c r="E2" s="81"/>
    </row>
    <row r="3" spans="1:5" ht="12.75">
      <c r="A3" s="82" t="s">
        <v>83</v>
      </c>
      <c r="B3" s="81"/>
      <c r="C3" s="81"/>
      <c r="D3" s="81"/>
      <c r="E3" s="81"/>
    </row>
    <row r="4" spans="1:5" ht="12.75">
      <c r="A4" s="84" t="str">
        <f>+'Balance Sheet'!A4:F4</f>
        <v>FOR THE SIX MONTHS ENDED JUNE 30, 2008</v>
      </c>
      <c r="B4" s="81"/>
      <c r="C4" s="81"/>
      <c r="D4" s="81"/>
      <c r="E4" s="81"/>
    </row>
    <row r="6" spans="1:5" ht="12.75">
      <c r="A6" s="82" t="s">
        <v>81</v>
      </c>
      <c r="B6" s="82"/>
      <c r="C6" s="82"/>
      <c r="D6" s="82"/>
      <c r="E6" s="82"/>
    </row>
    <row r="7" spans="1:5" ht="12.75">
      <c r="A7" s="83"/>
      <c r="B7" s="83"/>
      <c r="C7" s="83"/>
      <c r="D7" s="83"/>
      <c r="E7" s="83"/>
    </row>
    <row r="8" ht="12.75">
      <c r="C8" t="s">
        <v>111</v>
      </c>
    </row>
    <row r="9" spans="1:5" ht="12.75">
      <c r="A9" s="19"/>
      <c r="B9" s="19"/>
      <c r="C9" s="16"/>
      <c r="D9" s="16"/>
      <c r="E9" s="19"/>
    </row>
    <row r="10" spans="1:5" ht="12.75">
      <c r="A10" s="16"/>
      <c r="B10" s="16"/>
      <c r="C10" s="34" t="s">
        <v>129</v>
      </c>
      <c r="D10" s="16"/>
      <c r="E10" s="34" t="s">
        <v>120</v>
      </c>
    </row>
    <row r="11" spans="1:5" ht="12.75">
      <c r="A11" s="16"/>
      <c r="B11" s="16"/>
      <c r="C11" s="19" t="s">
        <v>0</v>
      </c>
      <c r="D11" s="16"/>
      <c r="E11" s="19" t="s">
        <v>0</v>
      </c>
    </row>
    <row r="12" spans="1:5" ht="12.75">
      <c r="A12" s="3" t="s">
        <v>1</v>
      </c>
      <c r="B12" s="3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3" t="s">
        <v>2</v>
      </c>
      <c r="B14" s="3"/>
      <c r="C14" s="35"/>
      <c r="D14" s="16"/>
      <c r="E14" s="35"/>
    </row>
    <row r="15" spans="1:5" ht="12.75">
      <c r="A15" t="s">
        <v>3</v>
      </c>
      <c r="B15" s="45"/>
      <c r="C15" s="4">
        <v>554856</v>
      </c>
      <c r="D15" s="5"/>
      <c r="E15" s="4">
        <f>286123+20804</f>
        <v>306927</v>
      </c>
    </row>
    <row r="16" spans="1:5" ht="12.75">
      <c r="A16" t="s">
        <v>4</v>
      </c>
      <c r="B16" s="45"/>
      <c r="C16" s="4"/>
      <c r="D16" s="5"/>
      <c r="E16" s="4"/>
    </row>
    <row r="17" spans="1:5" ht="12.75">
      <c r="A17" t="s">
        <v>130</v>
      </c>
      <c r="B17" s="45"/>
      <c r="C17" s="43">
        <f>59360-58090</f>
        <v>1270</v>
      </c>
      <c r="D17" s="5"/>
      <c r="E17" s="43">
        <v>0</v>
      </c>
    </row>
    <row r="18" spans="1:5" ht="12.75">
      <c r="A18" t="s">
        <v>5</v>
      </c>
      <c r="B18" s="45"/>
      <c r="C18" s="43">
        <f>68695+10440</f>
        <v>79135</v>
      </c>
      <c r="D18" s="5"/>
      <c r="E18" s="43">
        <f>56600+10283</f>
        <v>66883</v>
      </c>
    </row>
    <row r="19" spans="1:5" ht="12.75">
      <c r="A19" t="s">
        <v>6</v>
      </c>
      <c r="B19" s="45"/>
      <c r="C19" s="43">
        <v>0</v>
      </c>
      <c r="D19" s="5"/>
      <c r="E19" s="43">
        <f>-88731-20804</f>
        <v>-109535</v>
      </c>
    </row>
    <row r="20" spans="1:5" ht="12.75">
      <c r="A20" t="s">
        <v>7</v>
      </c>
      <c r="B20" s="45"/>
      <c r="C20" s="6">
        <v>183842</v>
      </c>
      <c r="D20" s="5"/>
      <c r="E20" s="6">
        <v>126336</v>
      </c>
    </row>
    <row r="21" spans="3:5" ht="12.75">
      <c r="C21" s="7">
        <f>SUM(C15:C20)</f>
        <v>819103</v>
      </c>
      <c r="E21" s="7">
        <f>SUM(E15:E20)</f>
        <v>390611</v>
      </c>
    </row>
    <row r="22" spans="1:5" ht="12.75">
      <c r="A22" t="s">
        <v>94</v>
      </c>
      <c r="C22" s="8"/>
      <c r="E22" s="8"/>
    </row>
    <row r="23" spans="1:5" ht="12.75">
      <c r="A23" t="s">
        <v>8</v>
      </c>
      <c r="C23" s="17">
        <f>794994-1085598</f>
        <v>-290604</v>
      </c>
      <c r="E23" s="17">
        <f>628838-714091</f>
        <v>-85253</v>
      </c>
    </row>
    <row r="24" spans="1:5" ht="12.75">
      <c r="A24" t="s">
        <v>9</v>
      </c>
      <c r="C24" s="56">
        <f>+(1211579+598910+405533+54823)-C34-(1116912+750161+320857+221456)</f>
        <v>-237008</v>
      </c>
      <c r="E24" s="56">
        <f>(411516+497971+39020)-(453534+463355+155035)-E34</f>
        <v>-123417</v>
      </c>
    </row>
    <row r="25" spans="1:5" ht="12.75">
      <c r="A25" t="s">
        <v>119</v>
      </c>
      <c r="C25" s="56">
        <f>95630-116756</f>
        <v>-21126</v>
      </c>
      <c r="E25" s="56">
        <f>90566-89568</f>
        <v>998</v>
      </c>
    </row>
    <row r="26" spans="1:5" ht="12.75">
      <c r="A26" t="s">
        <v>95</v>
      </c>
      <c r="C26" s="9">
        <f>-(295973+130782)+(237544+136289)</f>
        <v>-52922</v>
      </c>
      <c r="E26" s="9">
        <f>-(232080+96984)+(196389+99957)-1</f>
        <v>-32719</v>
      </c>
    </row>
    <row r="27" spans="3:5" ht="12.75">
      <c r="C27" s="8">
        <f>SUM(C21:C26)</f>
        <v>217443</v>
      </c>
      <c r="E27" s="8">
        <f>SUM(E21:E26)</f>
        <v>150220</v>
      </c>
    </row>
    <row r="28" spans="1:5" ht="12.75">
      <c r="A28" t="s">
        <v>10</v>
      </c>
      <c r="C28" s="27">
        <f>+(649-64816-212735)-C20+(-26000+136775+225961)</f>
        <v>-124008</v>
      </c>
      <c r="E28" s="27">
        <f>+(53915-74466-203865)-E20+(-17992+28147+222464)</f>
        <v>-118133</v>
      </c>
    </row>
    <row r="29" spans="1:5" ht="12.75">
      <c r="A29" t="s">
        <v>11</v>
      </c>
      <c r="C29" s="9">
        <f>+C27+C28</f>
        <v>93435</v>
      </c>
      <c r="D29" s="10"/>
      <c r="E29" s="9">
        <f>+E27+E28</f>
        <v>32087</v>
      </c>
    </row>
    <row r="30" spans="1:5" ht="12.75">
      <c r="A30" s="3" t="s">
        <v>12</v>
      </c>
      <c r="B30" s="3"/>
      <c r="C30" s="9"/>
      <c r="E30" s="9"/>
    </row>
    <row r="31" spans="1:5" ht="12.75">
      <c r="A31" t="s">
        <v>13</v>
      </c>
      <c r="B31" s="45"/>
      <c r="C31" s="11">
        <f>1866885-C18-C32-1995947</f>
        <v>-207637</v>
      </c>
      <c r="D31" s="5"/>
      <c r="E31" s="11">
        <f>1491224-E18-E32-1533789</f>
        <v>-108729</v>
      </c>
    </row>
    <row r="32" spans="1:8" ht="12.75">
      <c r="A32" t="s">
        <v>93</v>
      </c>
      <c r="B32" s="45"/>
      <c r="C32" s="43">
        <f>-393-50-267+150</f>
        <v>-560</v>
      </c>
      <c r="D32" s="5"/>
      <c r="E32" s="43">
        <f>-1134+15+100+300</f>
        <v>-719</v>
      </c>
      <c r="H32" t="s">
        <v>108</v>
      </c>
    </row>
    <row r="33" spans="1:5" ht="12.75">
      <c r="A33" t="s">
        <v>98</v>
      </c>
      <c r="B33" s="45"/>
      <c r="C33" s="36">
        <f>(741271+172637)-C19-(686639+318057)-8838+1</f>
        <v>-99625</v>
      </c>
      <c r="D33" s="5"/>
      <c r="E33" s="36">
        <f>(602055+1574785+261552)-E19-(614773+1684320+126957)-719</f>
        <v>121158</v>
      </c>
    </row>
    <row r="34" spans="1:5" ht="12.75">
      <c r="A34" s="57" t="s">
        <v>131</v>
      </c>
      <c r="B34" s="45"/>
      <c r="C34" s="6">
        <f>+(1211579+245715)-(1116912+241915)</f>
        <v>98467</v>
      </c>
      <c r="D34" s="5"/>
      <c r="E34" s="47">
        <v>0</v>
      </c>
    </row>
    <row r="35" spans="1:5" ht="12.75">
      <c r="A35" t="s">
        <v>96</v>
      </c>
      <c r="C35" s="44">
        <f>SUM(C31:C34)</f>
        <v>-209355</v>
      </c>
      <c r="E35" s="44">
        <f>SUM(E31:E34)</f>
        <v>11710</v>
      </c>
    </row>
    <row r="36" spans="1:5" ht="12.75">
      <c r="A36" s="3" t="s">
        <v>15</v>
      </c>
      <c r="B36" s="3"/>
      <c r="C36" s="44"/>
      <c r="E36" s="44"/>
    </row>
    <row r="37" spans="1:5" ht="12.75">
      <c r="A37" t="s">
        <v>107</v>
      </c>
      <c r="B37" s="45"/>
      <c r="C37" s="48">
        <v>100000</v>
      </c>
      <c r="D37" s="5"/>
      <c r="E37" s="48">
        <v>0</v>
      </c>
    </row>
    <row r="38" spans="1:5" ht="12.75">
      <c r="A38" t="s">
        <v>16</v>
      </c>
      <c r="C38" s="46">
        <f>-(91618+170094)-C37+(161529+155929)</f>
        <v>-44254</v>
      </c>
      <c r="D38" s="5"/>
      <c r="E38" s="46">
        <f>-233631-159146-E37+227449+148860</f>
        <v>-16468</v>
      </c>
    </row>
    <row r="39" spans="1:5" ht="12.75">
      <c r="A39" t="s">
        <v>132</v>
      </c>
      <c r="B39" s="45"/>
      <c r="C39" s="46">
        <v>-232379</v>
      </c>
      <c r="D39" s="5"/>
      <c r="E39" s="46">
        <v>0</v>
      </c>
    </row>
    <row r="40" spans="1:5" ht="12.75">
      <c r="A40" t="s">
        <v>113</v>
      </c>
      <c r="C40" s="44">
        <f>SUM(C37:C39)</f>
        <v>-176633</v>
      </c>
      <c r="E40" s="44">
        <f>SUM(E37:E39)</f>
        <v>-16468</v>
      </c>
    </row>
    <row r="41" spans="1:5" ht="12.75">
      <c r="A41" t="s">
        <v>112</v>
      </c>
      <c r="C41" s="8">
        <f>+C29+C35+C40</f>
        <v>-292553</v>
      </c>
      <c r="E41" s="8">
        <f>+E29+E35+E40</f>
        <v>27329</v>
      </c>
    </row>
    <row r="42" spans="1:5" ht="12.75">
      <c r="A42" t="s">
        <v>17</v>
      </c>
      <c r="C42" s="12">
        <v>489793</v>
      </c>
      <c r="E42" s="12">
        <f>-10446+1</f>
        <v>-10445</v>
      </c>
    </row>
    <row r="43" spans="1:5" ht="13.5" thickBot="1">
      <c r="A43" s="3" t="s">
        <v>18</v>
      </c>
      <c r="B43" s="3"/>
      <c r="C43" s="13">
        <f>+C41+C42</f>
        <v>197240</v>
      </c>
      <c r="E43" s="13">
        <f>+E41+E42</f>
        <v>16884</v>
      </c>
    </row>
    <row r="44" ht="13.5" thickTop="1"/>
    <row r="47" ht="12.75">
      <c r="C47" s="18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</sheetData>
  <mergeCells count="5">
    <mergeCell ref="A2:E2"/>
    <mergeCell ref="A6:E6"/>
    <mergeCell ref="A7:E7"/>
    <mergeCell ref="A4:E4"/>
    <mergeCell ref="A3:E3"/>
  </mergeCells>
  <printOptions/>
  <pageMargins left="0.75" right="0.75" top="0.6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0"/>
  <sheetViews>
    <sheetView tabSelected="1" workbookViewId="0" topLeftCell="A13">
      <selection activeCell="A18" sqref="A18"/>
    </sheetView>
  </sheetViews>
  <sheetFormatPr defaultColWidth="9.140625" defaultRowHeight="12.75"/>
  <cols>
    <col min="1" max="1" width="40.7109375" style="0" customWidth="1"/>
    <col min="3" max="3" width="7.28125" style="0" customWidth="1"/>
    <col min="4" max="4" width="12.421875" style="0" customWidth="1"/>
    <col min="6" max="6" width="11.421875" style="0" customWidth="1"/>
  </cols>
  <sheetData>
    <row r="2" spans="1:6" ht="12.75">
      <c r="A2" s="1"/>
      <c r="B2" s="1" t="s">
        <v>82</v>
      </c>
      <c r="C2" s="1"/>
      <c r="D2" s="1"/>
      <c r="E2" s="58"/>
      <c r="F2" s="58"/>
    </row>
    <row r="3" spans="1:6" ht="12.75">
      <c r="A3" s="82" t="s">
        <v>83</v>
      </c>
      <c r="B3" s="85"/>
      <c r="C3" s="85"/>
      <c r="D3" s="85"/>
      <c r="E3" s="85"/>
      <c r="F3" s="85"/>
    </row>
    <row r="4" spans="1:6" ht="12.75">
      <c r="A4" s="84" t="str">
        <f>+'Profit &amp; Loss'!B6</f>
        <v>FOR THE SIX MONTHS ENDED JUNE 30, 2008</v>
      </c>
      <c r="B4" s="85"/>
      <c r="C4" s="85"/>
      <c r="D4" s="85"/>
      <c r="E4" s="85"/>
      <c r="F4" s="85"/>
    </row>
    <row r="5" spans="1:6" ht="12.75">
      <c r="A5" s="58"/>
      <c r="B5" s="60"/>
      <c r="C5" s="60"/>
      <c r="D5" s="60"/>
      <c r="E5" s="58"/>
      <c r="F5" s="60"/>
    </row>
    <row r="6" spans="1:6" ht="15">
      <c r="A6" s="40"/>
      <c r="B6" s="41" t="s">
        <v>88</v>
      </c>
      <c r="C6" s="40"/>
      <c r="D6" s="58"/>
      <c r="E6" s="58"/>
      <c r="F6" s="58"/>
    </row>
    <row r="7" spans="1:6" ht="12.75">
      <c r="A7" s="58"/>
      <c r="B7" s="58"/>
      <c r="C7" s="58"/>
      <c r="D7" s="58"/>
      <c r="E7" s="58"/>
      <c r="F7" s="58"/>
    </row>
    <row r="8" spans="1:6" ht="12.75">
      <c r="A8" s="58"/>
      <c r="B8" s="58"/>
      <c r="C8" s="58"/>
      <c r="D8" s="3" t="s">
        <v>86</v>
      </c>
      <c r="E8" s="58"/>
      <c r="F8" s="1" t="s">
        <v>89</v>
      </c>
    </row>
    <row r="9" spans="1:6" ht="12.75">
      <c r="A9" s="58"/>
      <c r="B9" s="58"/>
      <c r="C9" s="58"/>
      <c r="D9" s="14" t="s">
        <v>124</v>
      </c>
      <c r="E9" s="58"/>
      <c r="F9" s="14" t="s">
        <v>123</v>
      </c>
    </row>
    <row r="10" spans="1:6" ht="12.75">
      <c r="A10" s="3"/>
      <c r="B10" s="58"/>
      <c r="C10" s="58"/>
      <c r="D10" s="42" t="s">
        <v>91</v>
      </c>
      <c r="E10" s="58"/>
      <c r="F10" s="42" t="s">
        <v>92</v>
      </c>
    </row>
    <row r="11" spans="1:6" ht="12.75">
      <c r="A11" s="3" t="s">
        <v>66</v>
      </c>
      <c r="B11" s="58"/>
      <c r="C11" s="58"/>
      <c r="D11" s="58"/>
      <c r="E11" s="58"/>
      <c r="F11" s="58"/>
    </row>
    <row r="12" spans="1:6" ht="12.75">
      <c r="A12" s="58" t="s">
        <v>67</v>
      </c>
      <c r="B12" s="60"/>
      <c r="C12" s="60"/>
      <c r="D12" s="60">
        <v>1995947</v>
      </c>
      <c r="E12" s="58"/>
      <c r="F12" s="60">
        <v>1866885</v>
      </c>
    </row>
    <row r="13" spans="1:6" ht="12.75">
      <c r="A13" s="58"/>
      <c r="B13" s="60"/>
      <c r="C13" s="60"/>
      <c r="D13" s="60"/>
      <c r="E13" s="58"/>
      <c r="F13" s="60"/>
    </row>
    <row r="14" spans="1:6" ht="12.75">
      <c r="A14" s="58" t="s">
        <v>99</v>
      </c>
      <c r="B14" s="60"/>
      <c r="C14" s="60"/>
      <c r="D14" s="60">
        <v>58090</v>
      </c>
      <c r="E14" s="58"/>
      <c r="F14" s="60">
        <v>59360</v>
      </c>
    </row>
    <row r="15" spans="1:6" ht="12.75">
      <c r="A15" s="58"/>
      <c r="B15" s="58"/>
      <c r="C15" s="58"/>
      <c r="D15" s="58"/>
      <c r="E15" s="58"/>
      <c r="F15" s="58"/>
    </row>
    <row r="16" spans="1:6" ht="12.75">
      <c r="A16" s="58" t="s">
        <v>14</v>
      </c>
      <c r="B16" s="60"/>
      <c r="C16" s="60"/>
      <c r="D16" s="60">
        <v>686639</v>
      </c>
      <c r="E16" s="58"/>
      <c r="F16" s="60">
        <v>741271</v>
      </c>
    </row>
    <row r="17" spans="1:6" ht="12.75">
      <c r="A17" s="58"/>
      <c r="B17" s="60"/>
      <c r="C17" s="60"/>
      <c r="D17" s="60"/>
      <c r="E17" s="58"/>
      <c r="F17" s="60"/>
    </row>
    <row r="18" spans="1:6" ht="12.75">
      <c r="A18" s="58" t="s">
        <v>137</v>
      </c>
      <c r="B18" s="58"/>
      <c r="C18" s="58"/>
      <c r="D18" s="60">
        <v>1116912</v>
      </c>
      <c r="E18" s="58"/>
      <c r="F18" s="60">
        <v>1211579</v>
      </c>
    </row>
    <row r="19" spans="1:6" ht="12.75">
      <c r="A19" s="58"/>
      <c r="B19" s="58"/>
      <c r="C19" s="58"/>
      <c r="D19" s="58"/>
      <c r="E19" s="58"/>
      <c r="F19" s="58"/>
    </row>
    <row r="20" spans="1:6" ht="12.75">
      <c r="A20" s="58" t="s">
        <v>68</v>
      </c>
      <c r="B20" s="60"/>
      <c r="C20" s="60"/>
      <c r="D20" s="60">
        <v>24100</v>
      </c>
      <c r="E20" s="58"/>
      <c r="F20" s="60">
        <v>24100</v>
      </c>
    </row>
    <row r="21" spans="1:6" ht="15">
      <c r="A21" s="58"/>
      <c r="B21" s="60"/>
      <c r="C21" s="60"/>
      <c r="D21" s="29"/>
      <c r="E21" s="58"/>
      <c r="F21" s="29"/>
    </row>
    <row r="22" spans="1:6" ht="12.75">
      <c r="A22" s="58" t="s">
        <v>97</v>
      </c>
      <c r="B22" s="60"/>
      <c r="C22" s="60"/>
      <c r="D22" s="60">
        <v>116756</v>
      </c>
      <c r="E22" s="58"/>
      <c r="F22" s="60">
        <v>95630</v>
      </c>
    </row>
    <row r="23" spans="1:6" ht="12.75">
      <c r="A23" s="58"/>
      <c r="B23" s="58"/>
      <c r="C23" s="58"/>
      <c r="D23" s="58"/>
      <c r="E23" s="58"/>
      <c r="F23" s="58"/>
    </row>
    <row r="24" spans="1:6" ht="12.75">
      <c r="A24" s="58" t="s">
        <v>69</v>
      </c>
      <c r="B24" s="60"/>
      <c r="C24" s="60"/>
      <c r="D24" s="60">
        <v>26000</v>
      </c>
      <c r="E24" s="58"/>
      <c r="F24" s="60">
        <v>649</v>
      </c>
    </row>
    <row r="25" spans="1:6" ht="12.75">
      <c r="A25" s="3"/>
      <c r="B25" s="60"/>
      <c r="C25" s="60"/>
      <c r="D25" s="60"/>
      <c r="E25" s="58"/>
      <c r="F25" s="60"/>
    </row>
    <row r="26" spans="1:6" ht="12.75">
      <c r="A26" s="58" t="s">
        <v>70</v>
      </c>
      <c r="B26" s="60"/>
      <c r="C26" s="60"/>
      <c r="D26" s="61">
        <v>2893369</v>
      </c>
      <c r="E26" s="62"/>
      <c r="F26" s="63">
        <v>2533041</v>
      </c>
    </row>
    <row r="27" spans="1:6" ht="12.75">
      <c r="A27" s="58"/>
      <c r="B27" s="60"/>
      <c r="C27" s="60"/>
      <c r="D27" s="64"/>
      <c r="E27" s="62"/>
      <c r="F27" s="65"/>
    </row>
    <row r="28" spans="1:6" ht="12.75">
      <c r="A28" s="58" t="s">
        <v>71</v>
      </c>
      <c r="B28" s="60"/>
      <c r="C28" s="60"/>
      <c r="D28" s="66">
        <v>-672137</v>
      </c>
      <c r="E28" s="62"/>
      <c r="F28" s="67">
        <v>-599539</v>
      </c>
    </row>
    <row r="29" spans="1:6" ht="12.75">
      <c r="A29" s="58"/>
      <c r="B29" s="60"/>
      <c r="C29" s="60"/>
      <c r="D29" s="68"/>
      <c r="E29" s="69"/>
      <c r="F29" s="68"/>
    </row>
    <row r="30" spans="1:6" ht="12.75">
      <c r="A30" s="58" t="s">
        <v>72</v>
      </c>
      <c r="B30" s="60"/>
      <c r="C30" s="60"/>
      <c r="D30" s="68">
        <f>+D26+D28</f>
        <v>2221232</v>
      </c>
      <c r="E30" s="58"/>
      <c r="F30" s="68">
        <f>+F26+F28</f>
        <v>1933502</v>
      </c>
    </row>
    <row r="31" spans="1:6" ht="12.75">
      <c r="A31" s="58"/>
      <c r="B31" s="60"/>
      <c r="C31" s="60"/>
      <c r="D31" s="60"/>
      <c r="E31" s="58"/>
      <c r="F31" s="60"/>
    </row>
    <row r="32" spans="1:6" ht="13.5" thickBot="1">
      <c r="A32" s="3"/>
      <c r="B32" s="60"/>
      <c r="C32" s="60"/>
      <c r="D32" s="70">
        <f>SUM(D12:D25)+D30</f>
        <v>6245676</v>
      </c>
      <c r="E32" s="58"/>
      <c r="F32" s="70">
        <f>SUM(F12:F25)+F30</f>
        <v>5932976</v>
      </c>
    </row>
    <row r="33" spans="1:6" ht="13.5" thickTop="1">
      <c r="A33" s="58"/>
      <c r="B33" s="60"/>
      <c r="C33" s="60"/>
      <c r="D33" s="60"/>
      <c r="E33" s="58"/>
      <c r="F33" s="60"/>
    </row>
    <row r="34" spans="1:6" ht="12.75">
      <c r="A34" s="3" t="s">
        <v>73</v>
      </c>
      <c r="B34" s="60"/>
      <c r="C34" s="60"/>
      <c r="D34" s="60"/>
      <c r="E34" s="58"/>
      <c r="F34" s="60"/>
    </row>
    <row r="35" spans="1:6" ht="12.75">
      <c r="A35" s="58" t="s">
        <v>74</v>
      </c>
      <c r="B35" s="60"/>
      <c r="C35" s="60"/>
      <c r="D35" s="60">
        <v>516398</v>
      </c>
      <c r="E35" s="58"/>
      <c r="F35" s="60">
        <v>516398</v>
      </c>
    </row>
    <row r="36" spans="1:6" ht="12.75">
      <c r="A36" s="58"/>
      <c r="B36" s="60"/>
      <c r="C36" s="60"/>
      <c r="D36" s="60"/>
      <c r="E36" s="58"/>
      <c r="F36" s="60"/>
    </row>
    <row r="37" spans="1:6" ht="12.75">
      <c r="A37" s="58" t="s">
        <v>75</v>
      </c>
      <c r="B37" s="60"/>
      <c r="C37" s="60"/>
      <c r="D37" s="60">
        <v>44889</v>
      </c>
      <c r="E37" s="58"/>
      <c r="F37" s="60">
        <v>44889</v>
      </c>
    </row>
    <row r="38" spans="1:6" ht="12.75">
      <c r="A38" s="16"/>
      <c r="B38" s="60"/>
      <c r="C38" s="60"/>
      <c r="D38" s="60"/>
      <c r="E38" s="58"/>
      <c r="F38" s="60"/>
    </row>
    <row r="39" spans="1:6" ht="12.75">
      <c r="A39" s="31" t="s">
        <v>76</v>
      </c>
      <c r="B39" s="60"/>
      <c r="C39" s="60"/>
      <c r="D39" s="60">
        <f>493872+346553+1</f>
        <v>840426</v>
      </c>
      <c r="E39" s="58"/>
      <c r="F39" s="60">
        <f>502710+346553+1</f>
        <v>849264</v>
      </c>
    </row>
    <row r="40" spans="1:6" ht="12.75">
      <c r="A40" s="71"/>
      <c r="B40" s="60"/>
      <c r="C40" s="60"/>
      <c r="D40" s="60"/>
      <c r="E40" s="58"/>
      <c r="F40" s="60"/>
    </row>
    <row r="41" spans="1:6" ht="12.75">
      <c r="A41" s="32" t="s">
        <v>77</v>
      </c>
      <c r="B41" s="60"/>
      <c r="C41" s="60"/>
      <c r="D41" s="60">
        <v>4167473</v>
      </c>
      <c r="E41" s="58"/>
      <c r="F41" s="60">
        <v>3844996</v>
      </c>
    </row>
    <row r="42" spans="1:6" ht="12.75">
      <c r="A42" s="71"/>
      <c r="B42" s="60"/>
      <c r="C42" s="60"/>
      <c r="D42" s="72"/>
      <c r="E42" s="58"/>
      <c r="F42" s="72"/>
    </row>
    <row r="43" spans="1:6" ht="12.75">
      <c r="A43" s="71"/>
      <c r="B43" s="60"/>
      <c r="C43" s="60"/>
      <c r="D43" s="60">
        <f>SUM(D35:D42)</f>
        <v>5569186</v>
      </c>
      <c r="E43" s="58"/>
      <c r="F43" s="60">
        <f>SUM(F35:F42)</f>
        <v>5255547</v>
      </c>
    </row>
    <row r="44" spans="1:6" ht="12.75">
      <c r="A44" s="71"/>
      <c r="B44" s="60"/>
      <c r="C44" s="60"/>
      <c r="D44" s="72"/>
      <c r="E44" s="58"/>
      <c r="F44" s="72"/>
    </row>
    <row r="45" spans="1:6" ht="12.75">
      <c r="A45" s="71" t="s">
        <v>78</v>
      </c>
      <c r="B45" s="60"/>
      <c r="C45" s="60"/>
      <c r="D45" s="61">
        <f>155929+240000</f>
        <v>395929</v>
      </c>
      <c r="E45" s="62"/>
      <c r="F45" s="73">
        <v>410094</v>
      </c>
    </row>
    <row r="46" spans="1:6" ht="12.75">
      <c r="A46" s="71"/>
      <c r="B46" s="60"/>
      <c r="C46" s="60"/>
      <c r="D46" s="64"/>
      <c r="E46" s="62"/>
      <c r="F46" s="74"/>
    </row>
    <row r="47" spans="1:6" ht="12.75">
      <c r="A47" s="71" t="s">
        <v>69</v>
      </c>
      <c r="B47" s="60"/>
      <c r="C47" s="60"/>
      <c r="D47" s="64">
        <v>225961</v>
      </c>
      <c r="E47" s="62"/>
      <c r="F47" s="74">
        <v>212735</v>
      </c>
    </row>
    <row r="48" spans="1:6" ht="12.75">
      <c r="A48" s="71"/>
      <c r="B48" s="60"/>
      <c r="C48" s="60"/>
      <c r="D48" s="64"/>
      <c r="E48" s="62"/>
      <c r="F48" s="74"/>
    </row>
    <row r="49" spans="1:6" ht="12.75">
      <c r="A49" s="71" t="s">
        <v>79</v>
      </c>
      <c r="B49" s="60"/>
      <c r="C49" s="60"/>
      <c r="D49" s="66">
        <v>54600</v>
      </c>
      <c r="E49" s="62"/>
      <c r="F49" s="75">
        <v>54600</v>
      </c>
    </row>
    <row r="50" spans="1:6" ht="12.75">
      <c r="A50" s="71"/>
      <c r="B50" s="60"/>
      <c r="C50" s="60"/>
      <c r="D50" s="76">
        <f>SUM(D45:D49)</f>
        <v>676490</v>
      </c>
      <c r="E50" s="58"/>
      <c r="F50" s="76">
        <f>SUM(F45:F49)</f>
        <v>677429</v>
      </c>
    </row>
    <row r="51" spans="1:6" ht="13.5" thickBot="1">
      <c r="A51" s="71"/>
      <c r="B51" s="60"/>
      <c r="C51" s="60"/>
      <c r="D51" s="70">
        <f>+D50+D43</f>
        <v>6245676</v>
      </c>
      <c r="E51" s="58"/>
      <c r="F51" s="70">
        <f>+F50+F43</f>
        <v>5932976</v>
      </c>
    </row>
    <row r="52" spans="1:6" ht="13.5" thickTop="1">
      <c r="A52" s="58"/>
      <c r="B52" s="58"/>
      <c r="C52" s="58"/>
      <c r="D52" s="58"/>
      <c r="E52" s="58"/>
      <c r="F52" s="58"/>
    </row>
    <row r="53" spans="1:6" ht="12.75">
      <c r="A53" s="71" t="s">
        <v>80</v>
      </c>
      <c r="B53" s="60"/>
      <c r="C53" s="60"/>
      <c r="D53" s="60"/>
      <c r="E53" s="58"/>
      <c r="F53" s="60"/>
    </row>
    <row r="54" spans="1:6" ht="12.75">
      <c r="A54" s="71"/>
      <c r="B54" s="60"/>
      <c r="C54" s="60"/>
      <c r="D54" s="60"/>
      <c r="E54" s="58"/>
      <c r="F54" s="60"/>
    </row>
    <row r="55" spans="1:6" ht="12.75">
      <c r="A55" s="71"/>
      <c r="B55" s="60"/>
      <c r="C55" s="60"/>
      <c r="D55" s="60"/>
      <c r="E55" s="58"/>
      <c r="F55" s="60"/>
    </row>
    <row r="56" spans="1:6" ht="12.75">
      <c r="A56" s="77" t="s">
        <v>134</v>
      </c>
      <c r="B56" s="59"/>
      <c r="C56" s="60"/>
      <c r="D56" s="59" t="s">
        <v>135</v>
      </c>
      <c r="E56" s="60"/>
      <c r="F56" s="60"/>
    </row>
    <row r="57" spans="1:6" ht="12.75">
      <c r="A57" s="77" t="s">
        <v>109</v>
      </c>
      <c r="B57" s="58"/>
      <c r="C57" s="60"/>
      <c r="D57" s="58" t="s">
        <v>110</v>
      </c>
      <c r="E57" s="60"/>
      <c r="F57" s="60"/>
    </row>
    <row r="58" spans="5:6" ht="12.75">
      <c r="E58" s="58"/>
      <c r="F58" s="60"/>
    </row>
    <row r="59" spans="1:6" ht="12.75">
      <c r="A59" s="58"/>
      <c r="B59" s="58"/>
      <c r="C59" s="58"/>
      <c r="D59" s="60"/>
      <c r="E59" s="58"/>
      <c r="F59" s="60"/>
    </row>
    <row r="60" spans="4:6" ht="12.75">
      <c r="D60" s="79"/>
      <c r="E60" s="78"/>
      <c r="F60" s="78"/>
    </row>
  </sheetData>
  <mergeCells count="2">
    <mergeCell ref="A4:F4"/>
    <mergeCell ref="A3:F3"/>
  </mergeCells>
  <printOptions/>
  <pageMargins left="0.75" right="0.5" top="0.51" bottom="0.51" header="0.5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50"/>
  <sheetViews>
    <sheetView workbookViewId="0" topLeftCell="A22">
      <selection activeCell="A12" sqref="A12"/>
    </sheetView>
  </sheetViews>
  <sheetFormatPr defaultColWidth="9.140625" defaultRowHeight="12.75"/>
  <cols>
    <col min="1" max="1" width="46.28125" style="0" customWidth="1"/>
    <col min="2" max="3" width="14.57421875" style="0" customWidth="1"/>
    <col min="4" max="4" width="13.7109375" style="0" customWidth="1"/>
    <col min="5" max="5" width="13.00390625" style="0" customWidth="1"/>
    <col min="6" max="6" width="1.421875" style="0" customWidth="1"/>
  </cols>
  <sheetData>
    <row r="4" spans="1:4" ht="15.75">
      <c r="A4" s="33"/>
      <c r="B4" s="33" t="s">
        <v>82</v>
      </c>
      <c r="C4" s="33"/>
      <c r="D4" s="33"/>
    </row>
    <row r="5" ht="12.75">
      <c r="B5" s="1" t="s">
        <v>83</v>
      </c>
    </row>
    <row r="6" spans="1:5" ht="15.75">
      <c r="A6" s="37"/>
      <c r="B6" s="38" t="s">
        <v>122</v>
      </c>
      <c r="C6" s="37"/>
      <c r="D6" s="37"/>
      <c r="E6" s="39"/>
    </row>
    <row r="8" spans="1:5" ht="15">
      <c r="A8" s="40"/>
      <c r="B8" s="41" t="s">
        <v>87</v>
      </c>
      <c r="C8" s="40"/>
      <c r="D8" s="40"/>
      <c r="E8" s="40"/>
    </row>
    <row r="10" spans="2:4" ht="12.75">
      <c r="B10" s="49" t="s">
        <v>105</v>
      </c>
      <c r="D10" s="49" t="s">
        <v>106</v>
      </c>
    </row>
    <row r="12" spans="2:5" ht="12.75">
      <c r="B12" s="2">
        <v>2008</v>
      </c>
      <c r="C12" s="2">
        <v>2007</v>
      </c>
      <c r="D12" s="2">
        <v>2008</v>
      </c>
      <c r="E12" s="2">
        <v>2007</v>
      </c>
    </row>
    <row r="15" spans="2:5" ht="12.75">
      <c r="B15" s="50" t="s">
        <v>0</v>
      </c>
      <c r="C15" s="50" t="s">
        <v>0</v>
      </c>
      <c r="D15" s="50" t="s">
        <v>0</v>
      </c>
      <c r="E15" s="50" t="s">
        <v>0</v>
      </c>
    </row>
    <row r="18" spans="1:5" ht="12.75">
      <c r="A18" s="3" t="s">
        <v>64</v>
      </c>
      <c r="B18" s="8">
        <v>2267821</v>
      </c>
      <c r="C18" s="8">
        <v>1417543</v>
      </c>
      <c r="D18" s="8">
        <v>4278195</v>
      </c>
      <c r="E18" s="8">
        <v>2801457</v>
      </c>
    </row>
    <row r="19" spans="2:5" ht="12.75">
      <c r="B19" s="8"/>
      <c r="C19" s="8"/>
      <c r="D19" s="8"/>
      <c r="E19" s="8"/>
    </row>
    <row r="20" spans="1:5" ht="15">
      <c r="A20" t="s">
        <v>100</v>
      </c>
      <c r="B20" s="29">
        <v>-1677431</v>
      </c>
      <c r="C20" s="29">
        <v>-1077935</v>
      </c>
      <c r="D20" s="29">
        <v>-3157662</v>
      </c>
      <c r="E20" s="29">
        <v>-2102966</v>
      </c>
    </row>
    <row r="21" spans="2:5" ht="12.75">
      <c r="B21" s="8"/>
      <c r="C21" s="8"/>
      <c r="D21" s="8"/>
      <c r="E21" s="8"/>
    </row>
    <row r="22" spans="1:5" ht="12.75">
      <c r="A22" s="3" t="s">
        <v>59</v>
      </c>
      <c r="B22" s="8">
        <f>+B18+B20</f>
        <v>590390</v>
      </c>
      <c r="C22" s="8">
        <f>+C18+C20</f>
        <v>339608</v>
      </c>
      <c r="D22" s="8">
        <f>+D18+D20</f>
        <v>1120533</v>
      </c>
      <c r="E22" s="8">
        <f>+E18+E20</f>
        <v>698491</v>
      </c>
    </row>
    <row r="23" spans="2:5" ht="12.75">
      <c r="B23" s="8"/>
      <c r="C23" s="8"/>
      <c r="D23" s="8"/>
      <c r="E23" s="8"/>
    </row>
    <row r="24" spans="1:5" ht="12.75">
      <c r="A24" t="s">
        <v>101</v>
      </c>
      <c r="B24" s="52">
        <v>89584</v>
      </c>
      <c r="C24" s="52">
        <v>48597</v>
      </c>
      <c r="D24" s="8">
        <v>181126</v>
      </c>
      <c r="E24" s="8">
        <v>104448</v>
      </c>
    </row>
    <row r="25" spans="1:5" ht="12.75">
      <c r="A25" t="s">
        <v>102</v>
      </c>
      <c r="B25" s="8">
        <v>-62573</v>
      </c>
      <c r="C25" s="8">
        <v>-51350</v>
      </c>
      <c r="D25" s="8">
        <v>-115340</v>
      </c>
      <c r="E25" s="8">
        <v>-97591</v>
      </c>
    </row>
    <row r="26" spans="1:5" ht="15">
      <c r="A26" t="s">
        <v>103</v>
      </c>
      <c r="B26" s="29">
        <v>-224391</v>
      </c>
      <c r="C26" s="29">
        <v>-185254</v>
      </c>
      <c r="D26" s="29">
        <v>-434311</v>
      </c>
      <c r="E26" s="29">
        <v>-360259</v>
      </c>
    </row>
    <row r="27" spans="2:5" ht="12.75">
      <c r="B27" s="8"/>
      <c r="C27" s="8"/>
      <c r="D27" s="8"/>
      <c r="E27" s="8"/>
    </row>
    <row r="28" spans="1:5" ht="12.75">
      <c r="A28" s="3" t="s">
        <v>60</v>
      </c>
      <c r="B28" s="8">
        <f>SUM(B22:B26)</f>
        <v>393010</v>
      </c>
      <c r="C28" s="8">
        <f>SUM(C22:C26)</f>
        <v>151601</v>
      </c>
      <c r="D28" s="8">
        <f>SUM(D22:D26)</f>
        <v>752008</v>
      </c>
      <c r="E28" s="8">
        <f>SUM(E22:E26)</f>
        <v>345089</v>
      </c>
    </row>
    <row r="30" spans="1:5" ht="12.75">
      <c r="A30" t="s">
        <v>104</v>
      </c>
      <c r="B30" s="53">
        <v>-6296</v>
      </c>
      <c r="C30" s="53">
        <v>-10549</v>
      </c>
      <c r="D30" s="24">
        <v>-13310</v>
      </c>
      <c r="E30" s="24">
        <v>-21361</v>
      </c>
    </row>
    <row r="31" spans="2:5" ht="12.75">
      <c r="B31" s="24"/>
      <c r="C31" s="24"/>
      <c r="D31" s="24"/>
      <c r="E31" s="24"/>
    </row>
    <row r="32" spans="1:5" ht="15">
      <c r="A32" s="54" t="s">
        <v>133</v>
      </c>
      <c r="B32" s="29">
        <v>0</v>
      </c>
      <c r="C32" s="29">
        <f>29225+20804</f>
        <v>50029</v>
      </c>
      <c r="D32" s="29">
        <v>0</v>
      </c>
      <c r="E32" s="29">
        <f>88731+20804</f>
        <v>109535</v>
      </c>
    </row>
    <row r="33" spans="2:5" ht="12.75">
      <c r="B33" s="8"/>
      <c r="C33" s="8"/>
      <c r="D33" s="8"/>
      <c r="E33" s="8"/>
    </row>
    <row r="34" spans="1:5" ht="12.75">
      <c r="A34" s="3" t="s">
        <v>90</v>
      </c>
      <c r="B34" s="8">
        <f>SUM(B28:B32)</f>
        <v>386714</v>
      </c>
      <c r="C34" s="8">
        <f>SUM(C28:C32)</f>
        <v>191081</v>
      </c>
      <c r="D34" s="8">
        <f>SUM(D28:D32)</f>
        <v>738698</v>
      </c>
      <c r="E34" s="8">
        <f>SUM(E28:E32)</f>
        <v>433263</v>
      </c>
    </row>
    <row r="35" spans="2:5" ht="15">
      <c r="B35" s="29"/>
      <c r="C35" s="29"/>
      <c r="D35" s="29"/>
      <c r="E35" s="29"/>
    </row>
    <row r="36" spans="1:5" ht="12.75">
      <c r="A36" t="s">
        <v>61</v>
      </c>
      <c r="B36" s="8">
        <v>-72880</v>
      </c>
      <c r="C36" s="8">
        <v>-62471</v>
      </c>
      <c r="D36" s="8">
        <v>-183842</v>
      </c>
      <c r="E36" s="8">
        <v>-126336</v>
      </c>
    </row>
    <row r="37" spans="2:5" ht="12.75">
      <c r="B37" s="8"/>
      <c r="C37" s="8"/>
      <c r="D37" s="8"/>
      <c r="E37" s="8"/>
    </row>
    <row r="38" spans="1:5" ht="13.5" thickBot="1">
      <c r="A38" s="3" t="s">
        <v>65</v>
      </c>
      <c r="B38" s="13">
        <f>SUM(B34:B37)</f>
        <v>313834</v>
      </c>
      <c r="C38" s="13">
        <f>SUM(C34:C37)</f>
        <v>128610</v>
      </c>
      <c r="D38" s="13">
        <f>SUM(D34:D37)</f>
        <v>554856</v>
      </c>
      <c r="E38" s="13">
        <f>SUM(E34:E37)</f>
        <v>306927</v>
      </c>
    </row>
    <row r="39" spans="2:3" ht="13.5" thickTop="1">
      <c r="B39" s="18"/>
      <c r="C39" s="18"/>
    </row>
    <row r="41" spans="1:5" ht="12.75">
      <c r="A41" s="3" t="s">
        <v>62</v>
      </c>
      <c r="B41" s="8">
        <v>516398</v>
      </c>
      <c r="C41" s="8">
        <v>516398</v>
      </c>
      <c r="D41" s="8">
        <v>516398</v>
      </c>
      <c r="E41" s="8">
        <v>516398</v>
      </c>
    </row>
    <row r="43" spans="1:5" ht="12.75">
      <c r="A43" s="3" t="s">
        <v>63</v>
      </c>
      <c r="B43" s="30">
        <f>+B38/B41</f>
        <v>0.6077366682287693</v>
      </c>
      <c r="C43" s="30">
        <f>+C38/C41</f>
        <v>0.2490520877307813</v>
      </c>
      <c r="D43" s="30">
        <f>+D38/D41</f>
        <v>1.0744735649634585</v>
      </c>
      <c r="E43" s="30">
        <f>+E38/E41</f>
        <v>0.5943613259540123</v>
      </c>
    </row>
    <row r="45" ht="12.75">
      <c r="A45" s="16"/>
    </row>
    <row r="46" ht="12.75">
      <c r="A46" s="16"/>
    </row>
    <row r="47" ht="12.75">
      <c r="A47" s="16"/>
    </row>
    <row r="49" ht="12.75">
      <c r="A49" s="57" t="s">
        <v>136</v>
      </c>
    </row>
    <row r="50" ht="12.75">
      <c r="A50" s="57"/>
    </row>
  </sheetData>
  <printOptions/>
  <pageMargins left="0.75" right="0.59" top="0.94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C10" sqref="C10"/>
    </sheetView>
  </sheetViews>
  <sheetFormatPr defaultColWidth="9.140625" defaultRowHeight="12.75"/>
  <cols>
    <col min="1" max="1" width="29.7109375" style="0" customWidth="1"/>
    <col min="2" max="2" width="0.85546875" style="0" customWidth="1"/>
    <col min="3" max="3" width="10.8515625" style="0" bestFit="1" customWidth="1"/>
    <col min="4" max="4" width="0.85546875" style="0" customWidth="1"/>
    <col min="5" max="5" width="10.28125" style="0" customWidth="1"/>
    <col min="6" max="6" width="3.7109375" style="0" hidden="1" customWidth="1"/>
    <col min="7" max="7" width="0.9921875" style="0" customWidth="1"/>
    <col min="8" max="8" width="10.28125" style="0" customWidth="1"/>
    <col min="9" max="9" width="0.71875" style="0" customWidth="1"/>
    <col min="10" max="10" width="10.28125" style="0" bestFit="1" customWidth="1"/>
    <col min="11" max="11" width="0.85546875" style="0" customWidth="1"/>
    <col min="12" max="12" width="10.8515625" style="0" bestFit="1" customWidth="1"/>
    <col min="13" max="13" width="0.85546875" style="0" customWidth="1"/>
    <col min="14" max="14" width="10.8515625" style="0" customWidth="1"/>
    <col min="15" max="15" width="0.85546875" style="0" customWidth="1"/>
    <col min="16" max="16" width="10.8515625" style="0" bestFit="1" customWidth="1"/>
    <col min="17" max="17" width="0.9921875" style="0" customWidth="1"/>
    <col min="18" max="18" width="11.28125" style="0" bestFit="1" customWidth="1"/>
    <col min="19" max="19" width="3.7109375" style="0" customWidth="1"/>
  </cols>
  <sheetData>
    <row r="1" spans="1:18" ht="15.75">
      <c r="A1" s="80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2.75">
      <c r="A3" s="84" t="str">
        <f>+'Profit &amp; Loss'!B6</f>
        <v>FOR THE SIX MONTHS ENDED JUNE 30, 2008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5.75">
      <c r="A5" s="80" t="s">
        <v>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ht="12.75">
      <c r="B6" s="3"/>
    </row>
    <row r="7" spans="2:8" ht="12.75">
      <c r="B7" s="3"/>
      <c r="H7" s="14" t="s">
        <v>20</v>
      </c>
    </row>
    <row r="8" ht="12.75">
      <c r="B8" s="3"/>
    </row>
    <row r="9" spans="2:16" ht="12.75">
      <c r="B9" s="3"/>
      <c r="C9" s="3" t="s">
        <v>21</v>
      </c>
      <c r="H9" s="3" t="s">
        <v>22</v>
      </c>
      <c r="L9" s="3" t="s">
        <v>23</v>
      </c>
      <c r="P9" s="3" t="s">
        <v>24</v>
      </c>
    </row>
    <row r="11" spans="2:18" ht="12.75">
      <c r="B11" s="3"/>
      <c r="C11" s="2" t="s">
        <v>128</v>
      </c>
      <c r="D11" s="2"/>
      <c r="E11" s="2" t="s">
        <v>121</v>
      </c>
      <c r="F11" s="2"/>
      <c r="G11" s="2"/>
      <c r="H11" s="2" t="str">
        <f>+C11</f>
        <v>30/06/2008</v>
      </c>
      <c r="I11" s="2"/>
      <c r="J11" s="2" t="str">
        <f>+E11</f>
        <v>30/06/2007</v>
      </c>
      <c r="K11" s="2"/>
      <c r="L11" s="2" t="str">
        <f>+H11</f>
        <v>30/06/2008</v>
      </c>
      <c r="M11" s="2"/>
      <c r="N11" s="2" t="str">
        <f>+J11</f>
        <v>30/06/2007</v>
      </c>
      <c r="O11" s="2"/>
      <c r="P11" s="2" t="str">
        <f>+L11</f>
        <v>30/06/2008</v>
      </c>
      <c r="Q11" s="2"/>
      <c r="R11" s="2" t="str">
        <f>+N11</f>
        <v>30/06/2007</v>
      </c>
    </row>
    <row r="12" ht="12.75">
      <c r="B12" s="3"/>
    </row>
    <row r="13" spans="1:2" ht="12.75">
      <c r="A13" s="3" t="s">
        <v>25</v>
      </c>
      <c r="B13" s="3"/>
    </row>
    <row r="14" spans="1:18" ht="12.75">
      <c r="A14" t="s">
        <v>26</v>
      </c>
      <c r="B14" s="3"/>
      <c r="C14" s="8">
        <f>+(421091+2160405+733151+126352+21250+271936)-C15</f>
        <v>2747341</v>
      </c>
      <c r="D14" s="8"/>
      <c r="E14" s="8">
        <f>+(1395358+627056+94212+12868+194376)-E15</f>
        <v>1428076</v>
      </c>
      <c r="F14" s="8"/>
      <c r="G14" s="8"/>
      <c r="H14" s="8">
        <f>1530854-H15</f>
        <v>1530854</v>
      </c>
      <c r="I14" s="8"/>
      <c r="J14" s="8">
        <f>531394+841987-J15</f>
        <v>1373381</v>
      </c>
      <c r="K14" s="8"/>
      <c r="L14" s="8"/>
      <c r="M14" s="8"/>
      <c r="N14" s="8"/>
      <c r="O14" s="8"/>
      <c r="P14" s="8">
        <f>+B14+C14+H14+L14</f>
        <v>4278195</v>
      </c>
      <c r="Q14" s="8"/>
      <c r="R14" s="8">
        <f>+D14+E14+J14+N14</f>
        <v>2801457</v>
      </c>
    </row>
    <row r="15" spans="1:18" ht="12.75">
      <c r="A15" t="s">
        <v>27</v>
      </c>
      <c r="B15" s="3"/>
      <c r="C15" s="51">
        <v>986844</v>
      </c>
      <c r="D15" s="8"/>
      <c r="E15" s="51">
        <v>895794</v>
      </c>
      <c r="F15" s="8"/>
      <c r="G15" s="8"/>
      <c r="H15" s="12">
        <v>0</v>
      </c>
      <c r="I15" s="8"/>
      <c r="J15" s="12">
        <v>0</v>
      </c>
      <c r="K15" s="8"/>
      <c r="L15" s="9">
        <f>-C15-H15</f>
        <v>-986844</v>
      </c>
      <c r="M15" s="8"/>
      <c r="N15" s="9">
        <f>-E15-J15</f>
        <v>-895794</v>
      </c>
      <c r="O15" s="8"/>
      <c r="P15" s="8"/>
      <c r="Q15" s="8"/>
      <c r="R15" s="8"/>
    </row>
    <row r="16" spans="1:18" ht="13.5" thickBot="1">
      <c r="A16" t="s">
        <v>28</v>
      </c>
      <c r="B16" s="3"/>
      <c r="C16" s="13">
        <f>+C14+C15</f>
        <v>3734185</v>
      </c>
      <c r="D16" s="8"/>
      <c r="E16" s="13">
        <f>+E14+E15</f>
        <v>2323870</v>
      </c>
      <c r="F16" s="8"/>
      <c r="G16" s="8"/>
      <c r="H16" s="13">
        <f>+H14+H15</f>
        <v>1530854</v>
      </c>
      <c r="I16" s="8"/>
      <c r="J16" s="13">
        <f>+J14+J15</f>
        <v>1373381</v>
      </c>
      <c r="K16" s="8"/>
      <c r="L16" s="13">
        <f>+L14+L15</f>
        <v>-986844</v>
      </c>
      <c r="M16" s="8"/>
      <c r="N16" s="13">
        <f>+N14+N15</f>
        <v>-895794</v>
      </c>
      <c r="O16" s="8"/>
      <c r="P16" s="15">
        <f>B16+C16+H16+L16</f>
        <v>4278195</v>
      </c>
      <c r="Q16" s="8"/>
      <c r="R16" s="15">
        <f>D16+E16+J16+N16</f>
        <v>2801457</v>
      </c>
    </row>
    <row r="17" spans="1:18" ht="13.5" thickTop="1">
      <c r="A17" s="3" t="s">
        <v>29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3.5" thickBot="1">
      <c r="A18" t="s">
        <v>30</v>
      </c>
      <c r="B18" s="3"/>
      <c r="C18" s="15">
        <f>84012+350749+113488+21845+6042+81650</f>
        <v>657786</v>
      </c>
      <c r="D18" s="8"/>
      <c r="E18" s="15">
        <f>165093+98837+2748-99+57179</f>
        <v>323758</v>
      </c>
      <c r="F18" s="8"/>
      <c r="G18" s="8"/>
      <c r="H18" s="15">
        <v>118663</v>
      </c>
      <c r="I18" s="8"/>
      <c r="J18" s="15">
        <f>46536+40236</f>
        <v>86772</v>
      </c>
      <c r="K18" s="8"/>
      <c r="L18" s="15"/>
      <c r="M18" s="8"/>
      <c r="N18" s="15"/>
      <c r="O18" s="8"/>
      <c r="P18" s="7">
        <f>B18+C18+H18+L18</f>
        <v>776449</v>
      </c>
      <c r="Q18" s="8"/>
      <c r="R18" s="7">
        <f>D18+E18+J18+N18</f>
        <v>410530</v>
      </c>
    </row>
    <row r="19" spans="1:18" ht="13.5" thickTop="1">
      <c r="A19" s="54" t="s">
        <v>116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1">
        <f>-1349+1933+161407-186432</f>
        <v>-24441</v>
      </c>
      <c r="Q19" s="8"/>
      <c r="R19" s="51">
        <f>-30+1973-152413+85029</f>
        <v>-65441</v>
      </c>
    </row>
    <row r="20" spans="1:18" ht="12.75">
      <c r="A20" t="s">
        <v>31</v>
      </c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>+P18+P19</f>
        <v>752008</v>
      </c>
      <c r="Q20" s="8"/>
      <c r="R20" s="8">
        <f>+R18+R19</f>
        <v>345089</v>
      </c>
    </row>
    <row r="21" spans="1:18" ht="12.75">
      <c r="A21" s="54" t="s">
        <v>104</v>
      </c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5">
        <v>-13310</v>
      </c>
      <c r="Q21" s="8"/>
      <c r="R21" s="55">
        <v>-21361</v>
      </c>
    </row>
    <row r="22" spans="1:18" ht="12.75">
      <c r="A22" t="s">
        <v>32</v>
      </c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>
        <v>0</v>
      </c>
      <c r="Q22" s="8"/>
      <c r="R22" s="7">
        <f>88731+20804</f>
        <v>109535</v>
      </c>
    </row>
    <row r="23" spans="1:18" ht="12.75">
      <c r="A23" t="s">
        <v>33</v>
      </c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>
        <v>-183842</v>
      </c>
      <c r="Q23" s="8"/>
      <c r="R23" s="7">
        <v>-126336</v>
      </c>
    </row>
    <row r="24" spans="1:18" ht="13.5" thickBot="1">
      <c r="A24" t="s">
        <v>34</v>
      </c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3">
        <f>SUM(P20:P23)</f>
        <v>554856</v>
      </c>
      <c r="Q24" s="8"/>
      <c r="R24" s="13">
        <f>SUM(R20:R23)</f>
        <v>306927</v>
      </c>
    </row>
    <row r="25" spans="2:18" ht="13.5" thickTop="1">
      <c r="B25" s="3"/>
      <c r="C25" s="17"/>
      <c r="D25" s="8"/>
      <c r="E25" s="1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3" t="s">
        <v>35</v>
      </c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16" t="s">
        <v>36</v>
      </c>
      <c r="B27" s="3"/>
      <c r="C27" s="17">
        <f>+(542547+2043+1042867-132990)+(73616+585386-513146)+(284290+405984)+(557026+21118)+(130601+3432-814)+(344039+23290+23294+189958-51703)</f>
        <v>3530838</v>
      </c>
      <c r="D27" s="8"/>
      <c r="E27" s="17">
        <f>+(569213+1949+681190-91201)+(72600+491539-429044)+(258053+16043+301495)+(403508+22537)+(131595+3329)</f>
        <v>2432806</v>
      </c>
      <c r="F27" s="8"/>
      <c r="G27" s="8"/>
      <c r="H27" s="8">
        <f>+(4370+662+490903)</f>
        <v>495935</v>
      </c>
      <c r="I27" s="8"/>
      <c r="J27" s="8">
        <f>+(5733+392434)+(254255-197683)</f>
        <v>454739</v>
      </c>
      <c r="K27" s="8"/>
      <c r="L27" s="17">
        <v>0</v>
      </c>
      <c r="M27" s="8"/>
      <c r="N27" s="17">
        <v>0</v>
      </c>
      <c r="O27" s="8"/>
      <c r="P27" s="8">
        <f>+B27+C27+H27+L27</f>
        <v>4026773</v>
      </c>
      <c r="Q27" s="8"/>
      <c r="R27" s="8">
        <f>+D27+E27+J27+N27</f>
        <v>2887545</v>
      </c>
    </row>
    <row r="28" spans="1:18" ht="12.75">
      <c r="A28" t="s">
        <v>37</v>
      </c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>0+P22</f>
        <v>0</v>
      </c>
      <c r="Q28" s="8"/>
      <c r="R28" s="56">
        <f>1502058+72727+R22</f>
        <v>1684320</v>
      </c>
    </row>
    <row r="29" spans="1:18" ht="12.75">
      <c r="A29" t="s">
        <v>38</v>
      </c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2">
        <f>6245676+672137-P27-P28</f>
        <v>2891040</v>
      </c>
      <c r="Q29" s="8"/>
      <c r="R29" s="52">
        <f>5391057+551941-R27-R28</f>
        <v>1371133</v>
      </c>
    </row>
    <row r="30" spans="1:18" ht="13.5" thickBot="1">
      <c r="A30" t="s">
        <v>39</v>
      </c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3">
        <f>+P27+P28+P29</f>
        <v>6917813</v>
      </c>
      <c r="Q30" s="8"/>
      <c r="R30" s="13">
        <f>+R27+R28+R29</f>
        <v>5942998</v>
      </c>
    </row>
    <row r="31" spans="1:18" ht="13.5" thickTop="1">
      <c r="A31" t="s">
        <v>40</v>
      </c>
      <c r="B31" s="3"/>
      <c r="C31" s="17">
        <f>-(165541+53458+218013-109592+200019-180787+1823-2564)</f>
        <v>-345911</v>
      </c>
      <c r="D31" s="8"/>
      <c r="E31" s="17">
        <f>+(-104468-9580-270145+190277-71497+55673-4899+2331)</f>
        <v>-212308</v>
      </c>
      <c r="F31" s="8"/>
      <c r="G31" s="8"/>
      <c r="H31" s="17">
        <f>-(286350-212951)</f>
        <v>-73399</v>
      </c>
      <c r="I31" s="8"/>
      <c r="J31" s="17">
        <f>(-276860+215448)+(187)</f>
        <v>-61225</v>
      </c>
      <c r="K31" s="8"/>
      <c r="L31" s="17">
        <f>-L27</f>
        <v>0</v>
      </c>
      <c r="M31" s="8"/>
      <c r="N31" s="17">
        <f>-N27</f>
        <v>0</v>
      </c>
      <c r="O31" s="8"/>
      <c r="P31" s="8">
        <f>+B31+C31+H31+L31</f>
        <v>-419310</v>
      </c>
      <c r="Q31" s="8"/>
      <c r="R31" s="8">
        <f>+D31+E31+J31+N31</f>
        <v>-273533</v>
      </c>
    </row>
    <row r="32" spans="1:18" ht="12.75">
      <c r="A32" t="s">
        <v>41</v>
      </c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52">
        <f>-(672137+155929+240000+54600+225961)-P31</f>
        <v>-929317</v>
      </c>
      <c r="Q32" s="8"/>
      <c r="R32" s="52">
        <f>-551941+1-148860-240000-49800-222464-R31</f>
        <v>-939531</v>
      </c>
    </row>
    <row r="33" spans="1:18" ht="13.5" thickBot="1">
      <c r="A33" t="s">
        <v>42</v>
      </c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3">
        <f>+P31+P32</f>
        <v>-1348627</v>
      </c>
      <c r="Q33" s="8"/>
      <c r="R33" s="13">
        <f>+R31+R32</f>
        <v>-1213064</v>
      </c>
    </row>
    <row r="34" spans="1:18" ht="13.5" thickTop="1">
      <c r="A34" t="s">
        <v>43</v>
      </c>
      <c r="B34" s="3"/>
      <c r="C34" s="8">
        <f>-(550461+70074+257040+454365+131045+329812)+C37+(542547+73616+284290+557026+130601+344039)</f>
        <v>206998</v>
      </c>
      <c r="D34" s="8"/>
      <c r="E34" s="8">
        <f>(-548430-73622-249635-380651+90566-132321)+E37+(569213+72600+258053+403508-89568+131595)</f>
        <v>106867</v>
      </c>
      <c r="F34" s="8"/>
      <c r="G34" s="8"/>
      <c r="H34" s="8">
        <f>-(4894)+H37+(4370)</f>
        <v>495</v>
      </c>
      <c r="I34" s="8"/>
      <c r="J34" s="8">
        <f>(-4854)+J37+(5733)</f>
        <v>1920</v>
      </c>
      <c r="K34" s="8"/>
      <c r="L34" s="8"/>
      <c r="M34" s="8"/>
      <c r="N34" s="8"/>
      <c r="O34" s="8"/>
      <c r="P34" s="8">
        <f>+C34+H34+L34</f>
        <v>207493</v>
      </c>
      <c r="Q34" s="8"/>
      <c r="R34" s="8">
        <f>+E34+J34+N34</f>
        <v>108787</v>
      </c>
    </row>
    <row r="35" spans="1:18" ht="12.75">
      <c r="A35" t="s">
        <v>44</v>
      </c>
      <c r="B35" s="3"/>
      <c r="C35" s="17"/>
      <c r="D35" s="8"/>
      <c r="E35" s="17"/>
      <c r="F35" s="8"/>
      <c r="G35" s="8"/>
      <c r="H35" s="17"/>
      <c r="I35" s="8"/>
      <c r="J35" s="17"/>
      <c r="K35" s="8"/>
      <c r="L35" s="8"/>
      <c r="M35" s="8"/>
      <c r="N35" s="8"/>
      <c r="O35" s="8"/>
      <c r="P35" s="8">
        <f>-(118609)+P38+(129979)+(21)</f>
        <v>21831</v>
      </c>
      <c r="Q35" s="8"/>
      <c r="R35" s="8">
        <f>(-138179)+R38+(128534)+(24-1)</f>
        <v>661</v>
      </c>
    </row>
    <row r="36" spans="1:18" ht="13.5" thickBot="1">
      <c r="A36" t="s">
        <v>45</v>
      </c>
      <c r="B36" s="3"/>
      <c r="C36" s="17"/>
      <c r="D36" s="8"/>
      <c r="E36" s="17"/>
      <c r="F36" s="8"/>
      <c r="G36" s="8"/>
      <c r="H36" s="17"/>
      <c r="I36" s="8"/>
      <c r="J36" s="17"/>
      <c r="K36" s="8"/>
      <c r="L36" s="8"/>
      <c r="M36" s="8"/>
      <c r="N36" s="8"/>
      <c r="O36" s="8"/>
      <c r="P36" s="13">
        <f>SUM(P34:P35)</f>
        <v>229324</v>
      </c>
      <c r="Q36" s="8"/>
      <c r="R36" s="13">
        <f>SUM(R34:R35)</f>
        <v>109448</v>
      </c>
    </row>
    <row r="37" spans="1:18" ht="13.5" thickTop="1">
      <c r="A37" t="s">
        <v>46</v>
      </c>
      <c r="B37" s="3"/>
      <c r="C37" s="17">
        <f>11597+30254+16055+5195+572+4003</f>
        <v>67676</v>
      </c>
      <c r="D37" s="8"/>
      <c r="E37" s="17">
        <f>28122+17682+4896+790+4069</f>
        <v>55559</v>
      </c>
      <c r="F37" s="8"/>
      <c r="G37" s="8"/>
      <c r="H37" s="17">
        <v>1019</v>
      </c>
      <c r="I37" s="8"/>
      <c r="J37" s="17">
        <v>1041</v>
      </c>
      <c r="K37" s="8"/>
      <c r="L37" s="8"/>
      <c r="M37" s="8"/>
      <c r="N37" s="8"/>
      <c r="O37" s="8"/>
      <c r="P37" s="8">
        <f>+C37+H37+L37</f>
        <v>68695</v>
      </c>
      <c r="Q37" s="8"/>
      <c r="R37" s="8">
        <f>+E37+J37+N37</f>
        <v>56600</v>
      </c>
    </row>
    <row r="38" spans="1:18" ht="12.75">
      <c r="A38" t="s">
        <v>47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v>10440</v>
      </c>
      <c r="Q38" s="8"/>
      <c r="R38" s="9">
        <v>10283</v>
      </c>
    </row>
    <row r="39" spans="1:18" ht="13.5" thickBot="1">
      <c r="A39" t="s">
        <v>48</v>
      </c>
      <c r="P39" s="13">
        <f>+P37+P38</f>
        <v>79135</v>
      </c>
      <c r="R39" s="13">
        <f>+R37+R38</f>
        <v>66883</v>
      </c>
    </row>
    <row r="40" ht="13.5" thickTop="1"/>
    <row r="41" spans="1:16" ht="12.75">
      <c r="A41" s="1"/>
      <c r="P41" s="18"/>
    </row>
  </sheetData>
  <mergeCells count="4">
    <mergeCell ref="A5:R5"/>
    <mergeCell ref="A3:R4"/>
    <mergeCell ref="A2:R2"/>
    <mergeCell ref="A1:R1"/>
  </mergeCells>
  <printOptions/>
  <pageMargins left="0.85" right="0.71" top="0.53" bottom="1" header="0.5" footer="0.5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">
      <selection activeCell="A3" sqref="A3:H3"/>
    </sheetView>
  </sheetViews>
  <sheetFormatPr defaultColWidth="9.140625" defaultRowHeight="12.75"/>
  <cols>
    <col min="1" max="1" width="33.7109375" style="0" customWidth="1"/>
    <col min="2" max="5" width="10.28125" style="0" customWidth="1"/>
    <col min="6" max="6" width="0.2890625" style="0" customWidth="1"/>
    <col min="7" max="8" width="10.28125" style="0" bestFit="1" customWidth="1"/>
  </cols>
  <sheetData>
    <row r="1" spans="1:8" ht="15.75">
      <c r="A1" s="80" t="s">
        <v>82</v>
      </c>
      <c r="B1" s="86"/>
      <c r="C1" s="86"/>
      <c r="D1" s="86"/>
      <c r="E1" s="86"/>
      <c r="F1" s="86"/>
      <c r="G1" s="86"/>
      <c r="H1" s="86"/>
    </row>
    <row r="2" spans="1:8" ht="12.75">
      <c r="A2" s="82" t="s">
        <v>83</v>
      </c>
      <c r="B2" s="86"/>
      <c r="C2" s="86"/>
      <c r="D2" s="86"/>
      <c r="E2" s="86"/>
      <c r="F2" s="86"/>
      <c r="G2" s="86"/>
      <c r="H2" s="86"/>
    </row>
    <row r="3" spans="1:8" ht="12.75">
      <c r="A3" s="84" t="str">
        <f>+'Profit &amp; Loss'!B6</f>
        <v>FOR THE SIX MONTHS ENDED JUNE 30, 2008</v>
      </c>
      <c r="B3" s="86"/>
      <c r="C3" s="86"/>
      <c r="D3" s="86"/>
      <c r="E3" s="86"/>
      <c r="F3" s="86"/>
      <c r="G3" s="86"/>
      <c r="H3" s="86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82" t="s">
        <v>49</v>
      </c>
      <c r="B5" s="82"/>
      <c r="C5" s="82"/>
      <c r="D5" s="82"/>
      <c r="E5" s="82"/>
      <c r="F5" s="82"/>
      <c r="G5" s="82"/>
      <c r="H5" s="82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19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9" t="s">
        <v>50</v>
      </c>
      <c r="C9" s="19" t="s">
        <v>51</v>
      </c>
      <c r="D9" s="19" t="s">
        <v>51</v>
      </c>
      <c r="E9" s="19" t="s">
        <v>52</v>
      </c>
      <c r="F9" s="20"/>
      <c r="G9" s="19" t="s">
        <v>84</v>
      </c>
      <c r="H9" s="20"/>
    </row>
    <row r="10" spans="1:8" ht="12.75">
      <c r="A10" s="16"/>
      <c r="B10" s="19" t="s">
        <v>53</v>
      </c>
      <c r="C10" s="19" t="s">
        <v>52</v>
      </c>
      <c r="D10" s="19" t="s">
        <v>54</v>
      </c>
      <c r="E10" s="19" t="s">
        <v>55</v>
      </c>
      <c r="F10" s="20"/>
      <c r="G10" s="19" t="s">
        <v>85</v>
      </c>
      <c r="H10" s="19" t="s">
        <v>56</v>
      </c>
    </row>
    <row r="11" spans="1:8" ht="12.75">
      <c r="A11" s="21"/>
      <c r="B11" s="22" t="s">
        <v>57</v>
      </c>
      <c r="C11" s="23" t="s">
        <v>0</v>
      </c>
      <c r="D11" s="23" t="s">
        <v>0</v>
      </c>
      <c r="E11" s="23" t="s">
        <v>0</v>
      </c>
      <c r="F11" s="23"/>
      <c r="G11" s="23" t="s">
        <v>0</v>
      </c>
      <c r="H11" s="23" t="s">
        <v>0</v>
      </c>
    </row>
    <row r="12" spans="1:8" ht="12.75">
      <c r="A12" s="16"/>
      <c r="B12" s="24"/>
      <c r="C12" s="24"/>
      <c r="D12" s="24"/>
      <c r="E12" s="24"/>
      <c r="F12" s="24"/>
      <c r="G12" s="24"/>
      <c r="H12" s="24"/>
    </row>
    <row r="13" spans="1:8" ht="12.75">
      <c r="A13" s="16" t="s">
        <v>117</v>
      </c>
      <c r="B13" s="25">
        <v>516398</v>
      </c>
      <c r="C13" s="25">
        <v>516398</v>
      </c>
      <c r="D13" s="25">
        <v>44889</v>
      </c>
      <c r="E13" s="25">
        <f>507857+346550+1+1</f>
        <v>854409</v>
      </c>
      <c r="F13" s="25"/>
      <c r="G13" s="25">
        <v>3008030</v>
      </c>
      <c r="H13" s="25">
        <f>SUM(C13:G13)</f>
        <v>4423726</v>
      </c>
    </row>
    <row r="14" spans="1:8" ht="12.75">
      <c r="A14" s="16"/>
      <c r="B14" s="26"/>
      <c r="C14" s="26"/>
      <c r="D14" s="26"/>
      <c r="E14" s="26"/>
      <c r="F14" s="26"/>
      <c r="G14" s="26"/>
      <c r="H14" s="26"/>
    </row>
    <row r="15" spans="1:8" ht="12.75">
      <c r="A15" s="16" t="s">
        <v>58</v>
      </c>
      <c r="B15" s="26">
        <v>0</v>
      </c>
      <c r="C15" s="26">
        <v>0</v>
      </c>
      <c r="D15" s="26">
        <v>0</v>
      </c>
      <c r="E15" s="26">
        <v>0</v>
      </c>
      <c r="F15" s="26"/>
      <c r="G15" s="26">
        <f>286123+20804</f>
        <v>306927</v>
      </c>
      <c r="H15" s="26">
        <f>+G15</f>
        <v>306927</v>
      </c>
    </row>
    <row r="17" ht="12.75">
      <c r="A17" s="16" t="s">
        <v>115</v>
      </c>
    </row>
    <row r="18" spans="1:8" ht="12.75">
      <c r="A18" s="16" t="s">
        <v>114</v>
      </c>
      <c r="B18" s="27">
        <v>0</v>
      </c>
      <c r="C18" s="27">
        <v>0</v>
      </c>
      <c r="D18" s="27">
        <v>0</v>
      </c>
      <c r="E18" s="27">
        <v>-719</v>
      </c>
      <c r="F18" s="27">
        <v>0</v>
      </c>
      <c r="G18" s="27">
        <v>0</v>
      </c>
      <c r="H18" s="27">
        <f>+E18</f>
        <v>-719</v>
      </c>
    </row>
    <row r="19" spans="1:8" ht="12.75">
      <c r="A19" s="16"/>
      <c r="B19" s="26"/>
      <c r="C19" s="26"/>
      <c r="D19" s="26"/>
      <c r="E19" s="26"/>
      <c r="F19" s="26"/>
      <c r="G19" s="26"/>
      <c r="H19" s="26"/>
    </row>
    <row r="20" spans="1:8" ht="13.5" thickBot="1">
      <c r="A20" s="16" t="s">
        <v>118</v>
      </c>
      <c r="B20" s="28">
        <f>SUM(B13:B18)</f>
        <v>516398</v>
      </c>
      <c r="C20" s="28">
        <f>SUM(C13:C18)</f>
        <v>516398</v>
      </c>
      <c r="D20" s="28">
        <f>SUM(D13:D18)</f>
        <v>44889</v>
      </c>
      <c r="E20" s="28">
        <f>SUM(E13:E18)</f>
        <v>853690</v>
      </c>
      <c r="F20" s="28"/>
      <c r="G20" s="28">
        <f>SUM(G13:G18)</f>
        <v>3314957</v>
      </c>
      <c r="H20" s="28">
        <f>SUM(H13:H18)</f>
        <v>4729934</v>
      </c>
    </row>
    <row r="21" spans="1:8" ht="13.5" thickTop="1">
      <c r="A21" s="16"/>
      <c r="B21" s="24"/>
      <c r="C21" s="24"/>
      <c r="D21" s="24"/>
      <c r="E21" s="24"/>
      <c r="F21" s="24"/>
      <c r="G21" s="24"/>
      <c r="H21" s="24"/>
    </row>
    <row r="23" spans="1:8" ht="12.75">
      <c r="A23" s="16"/>
      <c r="B23" s="26"/>
      <c r="C23" s="26"/>
      <c r="D23" s="26"/>
      <c r="E23" s="26"/>
      <c r="F23" s="26"/>
      <c r="G23" s="26"/>
      <c r="H23" s="26"/>
    </row>
    <row r="24" spans="1:8" ht="12.75">
      <c r="A24" s="16"/>
      <c r="B24" s="19" t="s">
        <v>50</v>
      </c>
      <c r="C24" s="19" t="s">
        <v>51</v>
      </c>
      <c r="D24" s="19" t="s">
        <v>51</v>
      </c>
      <c r="E24" s="19" t="s">
        <v>52</v>
      </c>
      <c r="F24" s="20"/>
      <c r="G24" s="19" t="s">
        <v>84</v>
      </c>
      <c r="H24" s="20"/>
    </row>
    <row r="25" spans="1:8" ht="12.75">
      <c r="A25" s="16"/>
      <c r="B25" s="19" t="s">
        <v>53</v>
      </c>
      <c r="C25" s="19" t="s">
        <v>52</v>
      </c>
      <c r="D25" s="19" t="s">
        <v>54</v>
      </c>
      <c r="E25" s="19" t="s">
        <v>55</v>
      </c>
      <c r="F25" s="20"/>
      <c r="G25" s="19" t="s">
        <v>85</v>
      </c>
      <c r="H25" s="19" t="s">
        <v>56</v>
      </c>
    </row>
    <row r="26" spans="1:8" ht="12.75">
      <c r="A26" s="21"/>
      <c r="B26" s="22" t="s">
        <v>57</v>
      </c>
      <c r="C26" s="23" t="s">
        <v>0</v>
      </c>
      <c r="D26" s="23" t="s">
        <v>0</v>
      </c>
      <c r="E26" s="23" t="s">
        <v>0</v>
      </c>
      <c r="F26" s="23"/>
      <c r="G26" s="23" t="s">
        <v>0</v>
      </c>
      <c r="H26" s="23" t="s">
        <v>0</v>
      </c>
    </row>
    <row r="27" spans="1:8" ht="12.75">
      <c r="A27" s="16"/>
      <c r="B27" s="24"/>
      <c r="C27" s="24"/>
      <c r="D27" s="24"/>
      <c r="E27" s="24"/>
      <c r="F27" s="24"/>
      <c r="G27" s="24"/>
      <c r="H27" s="24"/>
    </row>
    <row r="28" spans="1:8" ht="12.75">
      <c r="A28" s="16" t="s">
        <v>126</v>
      </c>
      <c r="B28" s="25">
        <v>516398</v>
      </c>
      <c r="C28" s="25">
        <v>516398</v>
      </c>
      <c r="D28" s="25">
        <v>44889</v>
      </c>
      <c r="E28" s="25">
        <f>502710+346553+1</f>
        <v>849264</v>
      </c>
      <c r="F28" s="25"/>
      <c r="G28" s="25">
        <v>3844996</v>
      </c>
      <c r="H28" s="25">
        <f>SUM(C28:G28)</f>
        <v>5255547</v>
      </c>
    </row>
    <row r="29" spans="1:8" ht="12.75">
      <c r="A29" s="16"/>
      <c r="B29" s="26"/>
      <c r="C29" s="26"/>
      <c r="D29" s="26"/>
      <c r="E29" s="26"/>
      <c r="F29" s="26"/>
      <c r="G29" s="26"/>
      <c r="H29" s="26"/>
    </row>
    <row r="30" spans="1:8" ht="12.75">
      <c r="A30" s="16" t="s">
        <v>58</v>
      </c>
      <c r="B30" s="26">
        <v>0</v>
      </c>
      <c r="C30" s="26">
        <v>0</v>
      </c>
      <c r="D30" s="26">
        <v>0</v>
      </c>
      <c r="E30" s="26">
        <v>0</v>
      </c>
      <c r="F30" s="26"/>
      <c r="G30" s="26">
        <v>554856</v>
      </c>
      <c r="H30" s="26">
        <f>+G30</f>
        <v>554856</v>
      </c>
    </row>
    <row r="32" ht="12.75">
      <c r="A32" s="16" t="s">
        <v>115</v>
      </c>
    </row>
    <row r="33" spans="1:8" ht="12.75">
      <c r="A33" s="16" t="s">
        <v>114</v>
      </c>
      <c r="B33" s="26">
        <v>0</v>
      </c>
      <c r="C33" s="26">
        <v>0</v>
      </c>
      <c r="D33" s="26">
        <v>0</v>
      </c>
      <c r="E33" s="26">
        <f>-502710+493872</f>
        <v>-8838</v>
      </c>
      <c r="F33" s="26"/>
      <c r="G33" s="26">
        <v>0</v>
      </c>
      <c r="H33" s="26">
        <f>+E33</f>
        <v>-8838</v>
      </c>
    </row>
    <row r="34" ht="12.75">
      <c r="A34" s="16"/>
    </row>
    <row r="35" spans="1:8" ht="12.75">
      <c r="A35" s="16" t="s">
        <v>125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-232379</v>
      </c>
      <c r="H35" s="27">
        <f>+G35</f>
        <v>-232379</v>
      </c>
    </row>
    <row r="36" spans="1:8" ht="12.75">
      <c r="A36" s="16"/>
      <c r="B36" s="26"/>
      <c r="C36" s="26"/>
      <c r="D36" s="26"/>
      <c r="E36" s="26"/>
      <c r="F36" s="26"/>
      <c r="G36" s="26"/>
      <c r="H36" s="26"/>
    </row>
    <row r="37" spans="1:8" ht="13.5" thickBot="1">
      <c r="A37" s="16" t="s">
        <v>127</v>
      </c>
      <c r="B37" s="28">
        <f>SUM(B28:B35)</f>
        <v>516398</v>
      </c>
      <c r="C37" s="28">
        <f>SUM(C28:C35)</f>
        <v>516398</v>
      </c>
      <c r="D37" s="28">
        <f>SUM(D28:D35)</f>
        <v>44889</v>
      </c>
      <c r="E37" s="28">
        <f>SUM(E28:E35)</f>
        <v>840426</v>
      </c>
      <c r="F37" s="28"/>
      <c r="G37" s="28">
        <f>SUM(G28:G35)</f>
        <v>4167473</v>
      </c>
      <c r="H37" s="28">
        <f>SUM(H28:H35)</f>
        <v>5569186</v>
      </c>
    </row>
    <row r="38" ht="13.5" thickTop="1"/>
  </sheetData>
  <mergeCells count="5">
    <mergeCell ref="A1:H1"/>
    <mergeCell ref="A6:H6"/>
    <mergeCell ref="A5:H5"/>
    <mergeCell ref="A3:H3"/>
    <mergeCell ref="A2:H2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gbraham</dc:creator>
  <cp:keywords/>
  <dc:description/>
  <cp:lastModifiedBy>cgayle</cp:lastModifiedBy>
  <cp:lastPrinted>2008-08-11T19:40:58Z</cp:lastPrinted>
  <dcterms:created xsi:type="dcterms:W3CDTF">2005-04-08T16:14:24Z</dcterms:created>
  <dcterms:modified xsi:type="dcterms:W3CDTF">2008-08-15T15:03:57Z</dcterms:modified>
  <cp:category/>
  <cp:version/>
  <cp:contentType/>
  <cp:contentStatus/>
</cp:coreProperties>
</file>